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 tabRatio="752"/>
  </bookViews>
  <sheets>
    <sheet name="Introdução" sheetId="63" r:id="rId1"/>
    <sheet name="Ex 4 dimensionar" sheetId="60" r:id="rId2"/>
    <sheet name="Ex 4 financeiro" sheetId="61" r:id="rId3"/>
  </sheets>
  <definedNames>
    <definedName name="_xlnm.Print_Area" localSheetId="1">'Ex 4 dimensionar'!$A$1:$L$33</definedName>
    <definedName name="_xlnm.Print_Area" localSheetId="2">'Ex 4 financeiro'!$A$1:$M$38</definedName>
  </definedNames>
  <calcPr calcId="145621" iterate="1" iterateCount="300" iterateDelta="1E-4"/>
</workbook>
</file>

<file path=xl/calcChain.xml><?xml version="1.0" encoding="utf-8"?>
<calcChain xmlns="http://schemas.openxmlformats.org/spreadsheetml/2006/main">
  <c r="B18" i="61" l="1"/>
  <c r="D30" i="61"/>
  <c r="E30" i="61" s="1"/>
  <c r="F30" i="61" s="1"/>
  <c r="G30" i="61" s="1"/>
  <c r="H30" i="61" s="1"/>
  <c r="I30" i="61" s="1"/>
  <c r="J30" i="61" s="1"/>
  <c r="K30" i="61" s="1"/>
  <c r="L30" i="61" s="1"/>
  <c r="M30" i="61" s="1"/>
  <c r="N30" i="61" s="1"/>
  <c r="O30" i="61" s="1"/>
  <c r="P30" i="61" s="1"/>
  <c r="Q30" i="61" s="1"/>
  <c r="R30" i="61" s="1"/>
  <c r="S30" i="61" s="1"/>
  <c r="T30" i="61" s="1"/>
  <c r="U30" i="61" s="1"/>
  <c r="V30" i="61" s="1"/>
  <c r="W30" i="61" s="1"/>
  <c r="X30" i="61" s="1"/>
  <c r="Y30" i="61" s="1"/>
  <c r="Z30" i="61" s="1"/>
  <c r="AA30" i="61" s="1"/>
  <c r="B15" i="61" l="1"/>
  <c r="B17" i="61"/>
  <c r="B16" i="61"/>
  <c r="B11" i="61"/>
  <c r="B6" i="61"/>
  <c r="B4" i="61"/>
  <c r="D14" i="60"/>
  <c r="D15" i="60"/>
  <c r="D16" i="60"/>
  <c r="D17" i="60"/>
  <c r="D18" i="60"/>
  <c r="D19" i="60"/>
  <c r="D20" i="60"/>
  <c r="D21" i="60"/>
  <c r="D22" i="60"/>
  <c r="D23" i="60"/>
  <c r="D24" i="60"/>
  <c r="D13" i="60"/>
  <c r="E13" i="60" s="1"/>
  <c r="G13" i="60" s="1"/>
  <c r="C26" i="60"/>
  <c r="B26" i="60"/>
  <c r="B9" i="61"/>
  <c r="B25" i="60"/>
  <c r="F13" i="60" l="1"/>
  <c r="D26" i="60"/>
  <c r="E24" i="60"/>
  <c r="E20" i="60"/>
  <c r="E16" i="60"/>
  <c r="C31" i="61"/>
  <c r="A31" i="61"/>
  <c r="D28" i="61"/>
  <c r="B19" i="61"/>
  <c r="D25" i="60"/>
  <c r="B29" i="60" s="1"/>
  <c r="C25" i="60"/>
  <c r="E23" i="60"/>
  <c r="E22" i="60"/>
  <c r="E21" i="60"/>
  <c r="E19" i="60"/>
  <c r="E18" i="60"/>
  <c r="E17" i="60"/>
  <c r="E15" i="60"/>
  <c r="E14" i="60"/>
  <c r="G29" i="60" l="1"/>
  <c r="C33" i="61"/>
  <c r="G14" i="60"/>
  <c r="F14" i="60"/>
  <c r="G21" i="60"/>
  <c r="F21" i="60"/>
  <c r="G20" i="60"/>
  <c r="F20" i="60"/>
  <c r="G15" i="60"/>
  <c r="F15" i="60"/>
  <c r="G18" i="60"/>
  <c r="F18" i="60"/>
  <c r="G16" i="60"/>
  <c r="F16" i="60"/>
  <c r="G19" i="60"/>
  <c r="F19" i="60"/>
  <c r="G22" i="60"/>
  <c r="F22" i="60"/>
  <c r="G17" i="60"/>
  <c r="F17" i="60"/>
  <c r="G23" i="60"/>
  <c r="F23" i="60"/>
  <c r="G24" i="60"/>
  <c r="F24" i="60"/>
  <c r="E26" i="60"/>
  <c r="E25" i="60"/>
  <c r="B36" i="61"/>
  <c r="B37" i="61" s="1"/>
  <c r="E28" i="61"/>
  <c r="B5" i="61"/>
  <c r="D31" i="61"/>
  <c r="F25" i="60" l="1"/>
  <c r="F26" i="60"/>
  <c r="G25" i="60"/>
  <c r="B30" i="60" s="1"/>
  <c r="B31" i="60" s="1"/>
  <c r="B38" i="61"/>
  <c r="F28" i="61"/>
  <c r="E31" i="61"/>
  <c r="D33" i="61"/>
  <c r="F31" i="61" l="1"/>
  <c r="G28" i="61"/>
  <c r="E33" i="61"/>
  <c r="F33" i="61" s="1"/>
  <c r="B32" i="60" l="1"/>
  <c r="B10" i="61"/>
  <c r="G33" i="61"/>
  <c r="H28" i="61"/>
  <c r="G31" i="61"/>
  <c r="B22" i="61" l="1"/>
  <c r="C29" i="61"/>
  <c r="H33" i="61"/>
  <c r="I28" i="61"/>
  <c r="H31" i="61"/>
  <c r="D29" i="61" l="1"/>
  <c r="C32" i="61"/>
  <c r="C35" i="61" s="1"/>
  <c r="I31" i="61"/>
  <c r="I33" i="61"/>
  <c r="J28" i="61"/>
  <c r="B23" i="61" l="1"/>
  <c r="C37" i="61"/>
  <c r="C38" i="61" s="1"/>
  <c r="E29" i="61"/>
  <c r="D32" i="61"/>
  <c r="D35" i="61" s="1"/>
  <c r="D37" i="61" s="1"/>
  <c r="J31" i="61"/>
  <c r="J33" i="61"/>
  <c r="K28" i="61"/>
  <c r="F29" i="61" l="1"/>
  <c r="E32" i="61"/>
  <c r="E35" i="61" s="1"/>
  <c r="E37" i="61" s="1"/>
  <c r="C40" i="61"/>
  <c r="D38" i="61"/>
  <c r="K31" i="61"/>
  <c r="K33" i="61"/>
  <c r="L28" i="61"/>
  <c r="D40" i="61" l="1"/>
  <c r="E38" i="61"/>
  <c r="G29" i="61"/>
  <c r="F32" i="61"/>
  <c r="F35" i="61" s="1"/>
  <c r="F37" i="61" s="1"/>
  <c r="L33" i="61"/>
  <c r="M28" i="61"/>
  <c r="L31" i="61"/>
  <c r="E40" i="61" l="1"/>
  <c r="F38" i="61"/>
  <c r="H29" i="61"/>
  <c r="G32" i="61"/>
  <c r="G35" i="61" s="1"/>
  <c r="G37" i="61" s="1"/>
  <c r="M33" i="61"/>
  <c r="N28" i="61"/>
  <c r="M31" i="61"/>
  <c r="I29" i="61" l="1"/>
  <c r="H32" i="61"/>
  <c r="H35" i="61" s="1"/>
  <c r="H37" i="61" s="1"/>
  <c r="F40" i="61"/>
  <c r="G38" i="61"/>
  <c r="N31" i="61"/>
  <c r="N33" i="61"/>
  <c r="O28" i="61"/>
  <c r="G40" i="61" l="1"/>
  <c r="H38" i="61"/>
  <c r="J29" i="61"/>
  <c r="I32" i="61"/>
  <c r="I35" i="61" s="1"/>
  <c r="I37" i="61" s="1"/>
  <c r="O31" i="61"/>
  <c r="O33" i="61"/>
  <c r="P28" i="61"/>
  <c r="K29" i="61" l="1"/>
  <c r="J32" i="61"/>
  <c r="J35" i="61" s="1"/>
  <c r="J37" i="61" s="1"/>
  <c r="H40" i="61"/>
  <c r="I38" i="61"/>
  <c r="P33" i="61"/>
  <c r="Q28" i="61"/>
  <c r="P31" i="61"/>
  <c r="I40" i="61" l="1"/>
  <c r="J38" i="61"/>
  <c r="L29" i="61"/>
  <c r="K32" i="61"/>
  <c r="K35" i="61" s="1"/>
  <c r="K37" i="61" s="1"/>
  <c r="Q33" i="61"/>
  <c r="R28" i="61"/>
  <c r="Q31" i="61"/>
  <c r="M29" i="61" l="1"/>
  <c r="L32" i="61"/>
  <c r="L35" i="61" s="1"/>
  <c r="L37" i="61" s="1"/>
  <c r="J40" i="61"/>
  <c r="K38" i="61"/>
  <c r="R31" i="61"/>
  <c r="R33" i="61"/>
  <c r="S28" i="61"/>
  <c r="K40" i="61" l="1"/>
  <c r="L38" i="61"/>
  <c r="N29" i="61"/>
  <c r="M32" i="61"/>
  <c r="M35" i="61" s="1"/>
  <c r="M37" i="61" s="1"/>
  <c r="S33" i="61"/>
  <c r="T28" i="61"/>
  <c r="S31" i="61"/>
  <c r="O29" i="61" l="1"/>
  <c r="N32" i="61"/>
  <c r="N35" i="61" s="1"/>
  <c r="N37" i="61" s="1"/>
  <c r="L40" i="61"/>
  <c r="M38" i="61"/>
  <c r="T33" i="61"/>
  <c r="U28" i="61"/>
  <c r="T31" i="61"/>
  <c r="M40" i="61" l="1"/>
  <c r="N38" i="61"/>
  <c r="P29" i="61"/>
  <c r="O32" i="61"/>
  <c r="O35" i="61" s="1"/>
  <c r="O37" i="61" s="1"/>
  <c r="U33" i="61"/>
  <c r="U31" i="61"/>
  <c r="V28" i="61"/>
  <c r="Q29" i="61" l="1"/>
  <c r="P32" i="61"/>
  <c r="P35" i="61" s="1"/>
  <c r="P37" i="61" s="1"/>
  <c r="N40" i="61"/>
  <c r="O38" i="61"/>
  <c r="V31" i="61"/>
  <c r="V33" i="61"/>
  <c r="W28" i="61"/>
  <c r="O40" i="61" l="1"/>
  <c r="P38" i="61"/>
  <c r="R29" i="61"/>
  <c r="Q32" i="61"/>
  <c r="Q35" i="61" s="1"/>
  <c r="Q37" i="61" s="1"/>
  <c r="W33" i="61"/>
  <c r="X28" i="61"/>
  <c r="W31" i="61"/>
  <c r="S29" i="61" l="1"/>
  <c r="R32" i="61"/>
  <c r="R35" i="61" s="1"/>
  <c r="R37" i="61" s="1"/>
  <c r="P40" i="61"/>
  <c r="Q38" i="61"/>
  <c r="X33" i="61"/>
  <c r="Y28" i="61"/>
  <c r="X31" i="61"/>
  <c r="Q40" i="61" l="1"/>
  <c r="R38" i="61"/>
  <c r="T29" i="61"/>
  <c r="S32" i="61"/>
  <c r="S35" i="61" s="1"/>
  <c r="S37" i="61" s="1"/>
  <c r="Y31" i="61"/>
  <c r="Y33" i="61"/>
  <c r="Z28" i="61"/>
  <c r="U29" i="61" l="1"/>
  <c r="T32" i="61"/>
  <c r="T35" i="61" s="1"/>
  <c r="T37" i="61" s="1"/>
  <c r="R40" i="61"/>
  <c r="S38" i="61"/>
  <c r="Z31" i="61"/>
  <c r="AA28" i="61"/>
  <c r="Z33" i="61"/>
  <c r="S40" i="61" l="1"/>
  <c r="T38" i="61"/>
  <c r="V29" i="61"/>
  <c r="U32" i="61"/>
  <c r="U35" i="61" s="1"/>
  <c r="U37" i="61" s="1"/>
  <c r="AA33" i="61"/>
  <c r="AA31" i="61"/>
  <c r="W29" i="61" l="1"/>
  <c r="V32" i="61"/>
  <c r="V35" i="61" s="1"/>
  <c r="V37" i="61" s="1"/>
  <c r="T40" i="61"/>
  <c r="U38" i="61"/>
  <c r="U40" i="61" l="1"/>
  <c r="V38" i="61"/>
  <c r="X29" i="61"/>
  <c r="W32" i="61"/>
  <c r="W35" i="61" s="1"/>
  <c r="W37" i="61" s="1"/>
  <c r="Y29" i="61" l="1"/>
  <c r="X32" i="61"/>
  <c r="X35" i="61" s="1"/>
  <c r="X37" i="61" s="1"/>
  <c r="V40" i="61"/>
  <c r="W38" i="61"/>
  <c r="W40" i="61" l="1"/>
  <c r="X38" i="61"/>
  <c r="Z29" i="61"/>
  <c r="Y32" i="61"/>
  <c r="Y35" i="61" s="1"/>
  <c r="Y37" i="61" s="1"/>
  <c r="AA29" i="61" l="1"/>
  <c r="AA32" i="61" s="1"/>
  <c r="AA35" i="61" s="1"/>
  <c r="AA37" i="61" s="1"/>
  <c r="Z32" i="61"/>
  <c r="Z35" i="61" s="1"/>
  <c r="Z37" i="61" s="1"/>
  <c r="X40" i="61"/>
  <c r="Y38" i="61"/>
  <c r="B25" i="61" l="1"/>
  <c r="G31" i="60" s="1"/>
  <c r="B26" i="61"/>
  <c r="Y40" i="61"/>
  <c r="Z38" i="61"/>
  <c r="Z40" i="61" l="1"/>
  <c r="AA38" i="61"/>
  <c r="AA40" i="61" s="1"/>
  <c r="B24" i="61" l="1"/>
  <c r="G30" i="60" s="1"/>
</calcChain>
</file>

<file path=xl/sharedStrings.xml><?xml version="1.0" encoding="utf-8"?>
<sst xmlns="http://schemas.openxmlformats.org/spreadsheetml/2006/main" count="94" uniqueCount="87">
  <si>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</si>
  <si>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</si>
  <si>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</si>
  <si>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</si>
  <si>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</si>
  <si>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</si>
  <si>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</si>
  <si>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</si>
  <si>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</si>
  <si>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</si>
  <si>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</si>
  <si>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</si>
  <si>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</si>
  <si>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</si>
  <si>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Cliente</t>
  </si>
  <si>
    <t>Local</t>
  </si>
  <si>
    <t>Consumo médio anual [kWh]</t>
  </si>
  <si>
    <t>Tarifa de energia [R$ / kWh]</t>
  </si>
  <si>
    <t>Sistema fotovoltaico</t>
  </si>
  <si>
    <t>Potência nominal [kWp]</t>
  </si>
  <si>
    <t>Parâmetros financeiros</t>
  </si>
  <si>
    <t>Prazo do projeto [anos]</t>
  </si>
  <si>
    <t>Investimento específico [R$ / kWp]</t>
  </si>
  <si>
    <t>Inflação anual [%]</t>
  </si>
  <si>
    <t>Investimento total [R$]</t>
  </si>
  <si>
    <t>Resultados</t>
  </si>
  <si>
    <t>% da geração em relação ao consumo</t>
  </si>
  <si>
    <t>Economia no primeiro ano [R$]</t>
  </si>
  <si>
    <t>Retorno do investimento [anos]</t>
  </si>
  <si>
    <t>Taxa interna de retorno TIR</t>
  </si>
  <si>
    <t>Valor presente líquido VPL [R$]</t>
  </si>
  <si>
    <t>Ano</t>
  </si>
  <si>
    <t>Aumento da tarifa [%]</t>
  </si>
  <si>
    <t>Economia [R$]</t>
  </si>
  <si>
    <t>Custo O &amp; M [R$]</t>
  </si>
  <si>
    <t>Fluxo de caixa operação [R$]</t>
  </si>
  <si>
    <t>Investimento [R$]</t>
  </si>
  <si>
    <t>Fluxo de caixa anual [R$]</t>
  </si>
  <si>
    <t>Fluxo de caixa acumulado [R$]</t>
  </si>
  <si>
    <t>Calcular Retorno de Investimento Simplificado</t>
  </si>
  <si>
    <t>Média mensal</t>
  </si>
  <si>
    <t>Prejuizo com CDD [kWh]</t>
  </si>
  <si>
    <t>Geração faturada</t>
  </si>
  <si>
    <t>Conta a pagar [kWh]</t>
  </si>
  <si>
    <t>Santos Dumont</t>
  </si>
  <si>
    <t>Custo Operação &amp; Manutenção [%]</t>
  </si>
  <si>
    <t>Perda estimada (sombra...)</t>
  </si>
  <si>
    <t>Geração anual [kWh]</t>
  </si>
  <si>
    <t>Resultados energéticos</t>
  </si>
  <si>
    <t>Geração anual</t>
  </si>
  <si>
    <t>Representa ..% do consumo</t>
  </si>
  <si>
    <t>Taxa interna de retorno</t>
  </si>
  <si>
    <t>- Prejuizos com CDD</t>
  </si>
  <si>
    <t>Degradação anual dos módulos</t>
  </si>
  <si>
    <t>PVWatts</t>
  </si>
  <si>
    <t>Geração típica [kWh]</t>
  </si>
  <si>
    <t>Tarifa da energia [R$ / kWh]</t>
  </si>
  <si>
    <t>Inflação anual</t>
  </si>
  <si>
    <t>Custo anual Operação e Manutenção [%]</t>
  </si>
  <si>
    <t>Resultados financeiros</t>
  </si>
  <si>
    <t>Cálculo retorno (linha de apóio ao cálculo)</t>
  </si>
  <si>
    <t>* Este gráfico não transporta créditos de um mês para meses subsequentes</t>
  </si>
  <si>
    <t>Custo de Disponibilidade CDD</t>
  </si>
  <si>
    <t>Fonte (informativo)</t>
  </si>
  <si>
    <t>Inclinação (informativo)</t>
  </si>
  <si>
    <t>Orientação (informativo)</t>
  </si>
  <si>
    <t>Dados climáticos (informativo)</t>
  </si>
  <si>
    <t>Parâmetros da simulação da geração</t>
  </si>
  <si>
    <t>Potência simulada [kWp]</t>
  </si>
  <si>
    <t>Geração solar [kWh]</t>
  </si>
  <si>
    <t>Por isso, a "conta a pagar", na realidade, será menor em meses com crédito disponível</t>
  </si>
  <si>
    <t>Parâmetros do cliente e do sistema proposto</t>
  </si>
  <si>
    <t>Potência do sistema solar</t>
  </si>
  <si>
    <t>Consumo bruto [kWh]</t>
  </si>
  <si>
    <t>Consumo líquido [kWh]</t>
  </si>
  <si>
    <t>Dimensionar potência do sistema a partir do consumo - classe A</t>
  </si>
  <si>
    <t>Aumento da tarifa anual [%]</t>
  </si>
  <si>
    <t>Aumento da tarifa anual</t>
  </si>
  <si>
    <t>Padrão de coloração:</t>
  </si>
  <si>
    <t>Cinza = já preenchido ou resultado</t>
  </si>
  <si>
    <t>Verde = resultado destacado</t>
  </si>
  <si>
    <t>Esta planilha faz parte do conjunto entregue aos particpantes do</t>
  </si>
  <si>
    <t>Curso "Projetista para sistemas conectados à rede"</t>
  </si>
  <si>
    <t>Azul = campo a preencher</t>
  </si>
  <si>
    <t>Ela foi disponibilizada como apoio ao minicurso sobre Dimensionamento de sistemas fotovoltaicos</t>
  </si>
  <si>
    <t>conforme regulamentação brasileira.</t>
  </si>
  <si>
    <t>Mais informações no site www.solarize.com.br, que contém também a apresentação para 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</si>
</sst>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#,##0.0000"/>
    <numFmt numFmtId="167" formatCode="#,##0.0"/>
    <numFmt numFmtId="168" formatCode="0.0000"/>
    <numFmt numFmtId="169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5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4" xfId="0" applyFill="1" applyBorder="1"/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 wrapText="1"/>
    </xf>
    <xf numFmtId="0" fontId="0" fillId="0" borderId="0" xfId="0" applyFill="1" applyBorder="1"/>
    <xf numFmtId="0" fontId="2" fillId="4" borderId="8" xfId="0" applyFont="1" applyFill="1" applyBorder="1"/>
    <xf numFmtId="49" fontId="0" fillId="2" borderId="2" xfId="0" applyNumberForma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horizontal="right" vertical="top" wrapText="1"/>
    </xf>
    <xf numFmtId="14" fontId="0" fillId="2" borderId="7" xfId="0" applyNumberFormat="1" applyFill="1" applyBorder="1"/>
    <xf numFmtId="3" fontId="0" fillId="2" borderId="8" xfId="0" applyNumberFormat="1" applyFill="1" applyBorder="1"/>
    <xf numFmtId="0" fontId="0" fillId="2" borderId="33" xfId="0" applyFill="1" applyBorder="1"/>
    <xf numFmtId="3" fontId="0" fillId="2" borderId="35" xfId="0" applyNumberFormat="1" applyFill="1" applyBorder="1"/>
    <xf numFmtId="0" fontId="2" fillId="2" borderId="31" xfId="0" applyFont="1" applyFill="1" applyBorder="1"/>
    <xf numFmtId="3" fontId="2" fillId="2" borderId="36" xfId="0" applyNumberFormat="1" applyFont="1" applyFill="1" applyBorder="1"/>
    <xf numFmtId="3" fontId="2" fillId="2" borderId="32" xfId="0" applyNumberFormat="1" applyFont="1" applyFill="1" applyBorder="1"/>
    <xf numFmtId="0" fontId="3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0" fillId="2" borderId="7" xfId="0" applyFont="1" applyFill="1" applyBorder="1"/>
    <xf numFmtId="0" fontId="2" fillId="5" borderId="2" xfId="0" applyFont="1" applyFill="1" applyBorder="1"/>
    <xf numFmtId="0" fontId="0" fillId="5" borderId="3" xfId="0" applyFill="1" applyBorder="1" applyAlignment="1">
      <alignment horizontal="right"/>
    </xf>
    <xf numFmtId="0" fontId="2" fillId="2" borderId="4" xfId="0" applyFont="1" applyFill="1" applyBorder="1"/>
    <xf numFmtId="0" fontId="0" fillId="0" borderId="38" xfId="0" applyBorder="1"/>
    <xf numFmtId="2" fontId="0" fillId="0" borderId="38" xfId="0" applyNumberFormat="1" applyFill="1" applyBorder="1" applyAlignment="1">
      <alignment horizontal="right"/>
    </xf>
    <xf numFmtId="0" fontId="0" fillId="6" borderId="39" xfId="0" applyFont="1" applyFill="1" applyBorder="1"/>
    <xf numFmtId="9" fontId="0" fillId="6" borderId="40" xfId="1" applyFont="1" applyFill="1" applyBorder="1" applyAlignment="1">
      <alignment horizontal="right"/>
    </xf>
    <xf numFmtId="0" fontId="0" fillId="6" borderId="7" xfId="0" applyFill="1" applyBorder="1"/>
    <xf numFmtId="164" fontId="0" fillId="6" borderId="40" xfId="0" applyNumberFormat="1" applyFill="1" applyBorder="1" applyAlignment="1">
      <alignment horizontal="right"/>
    </xf>
    <xf numFmtId="165" fontId="0" fillId="6" borderId="8" xfId="0" applyNumberFormat="1" applyFill="1" applyBorder="1" applyAlignment="1">
      <alignment horizontal="right"/>
    </xf>
    <xf numFmtId="0" fontId="0" fillId="6" borderId="4" xfId="0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6" xfId="0" applyFont="1" applyFill="1" applyBorder="1"/>
    <xf numFmtId="3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3" fontId="0" fillId="2" borderId="14" xfId="0" applyNumberFormat="1" applyFill="1" applyBorder="1"/>
    <xf numFmtId="3" fontId="2" fillId="2" borderId="9" xfId="0" applyNumberFormat="1" applyFont="1" applyFill="1" applyBorder="1"/>
    <xf numFmtId="3" fontId="2" fillId="4" borderId="1" xfId="0" applyNumberFormat="1" applyFont="1" applyFill="1" applyBorder="1"/>
    <xf numFmtId="3" fontId="2" fillId="4" borderId="34" xfId="0" applyNumberFormat="1" applyFont="1" applyFill="1" applyBorder="1"/>
    <xf numFmtId="3" fontId="0" fillId="2" borderId="8" xfId="0" applyNumberFormat="1" applyFill="1" applyBorder="1" applyAlignment="1">
      <alignment horizontal="right"/>
    </xf>
    <xf numFmtId="3" fontId="0" fillId="2" borderId="34" xfId="0" applyNumberFormat="1" applyFill="1" applyBorder="1"/>
    <xf numFmtId="49" fontId="2" fillId="2" borderId="2" xfId="0" applyNumberFormat="1" applyFont="1" applyFill="1" applyBorder="1" applyAlignment="1">
      <alignment horizontal="right" vertical="top" wrapText="1"/>
    </xf>
    <xf numFmtId="3" fontId="0" fillId="2" borderId="7" xfId="0" applyNumberFormat="1" applyFill="1" applyBorder="1"/>
    <xf numFmtId="3" fontId="0" fillId="2" borderId="33" xfId="0" applyNumberFormat="1" applyFill="1" applyBorder="1"/>
    <xf numFmtId="3" fontId="2" fillId="2" borderId="31" xfId="0" applyNumberFormat="1" applyFont="1" applyFill="1" applyBorder="1"/>
    <xf numFmtId="3" fontId="2" fillId="2" borderId="43" xfId="0" applyNumberFormat="1" applyFont="1" applyFill="1" applyBorder="1"/>
    <xf numFmtId="3" fontId="2" fillId="2" borderId="44" xfId="0" applyNumberFormat="1" applyFont="1" applyFill="1" applyBorder="1"/>
    <xf numFmtId="0" fontId="0" fillId="2" borderId="26" xfId="0" applyFont="1" applyFill="1" applyBorder="1"/>
    <xf numFmtId="3" fontId="0" fillId="2" borderId="42" xfId="0" applyNumberFormat="1" applyFont="1" applyFill="1" applyBorder="1"/>
    <xf numFmtId="3" fontId="0" fillId="2" borderId="27" xfId="0" applyNumberFormat="1" applyFont="1" applyFill="1" applyBorder="1"/>
    <xf numFmtId="3" fontId="2" fillId="4" borderId="7" xfId="0" applyNumberFormat="1" applyFont="1" applyFill="1" applyBorder="1"/>
    <xf numFmtId="3" fontId="2" fillId="4" borderId="33" xfId="0" applyNumberFormat="1" applyFont="1" applyFill="1" applyBorder="1"/>
    <xf numFmtId="3" fontId="0" fillId="2" borderId="26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6" borderId="40" xfId="0" applyNumberFormat="1" applyFill="1" applyBorder="1" applyAlignment="1">
      <alignment horizontal="right"/>
    </xf>
    <xf numFmtId="3" fontId="0" fillId="6" borderId="32" xfId="0" applyNumberFormat="1" applyFill="1" applyBorder="1" applyAlignment="1">
      <alignment horizontal="right"/>
    </xf>
    <xf numFmtId="49" fontId="0" fillId="0" borderId="0" xfId="0" applyNumberFormat="1" applyAlignment="1">
      <alignment vertical="center" wrapText="1"/>
    </xf>
    <xf numFmtId="0" fontId="0" fillId="2" borderId="4" xfId="0" applyFont="1" applyFill="1" applyBorder="1"/>
    <xf numFmtId="10" fontId="2" fillId="4" borderId="5" xfId="0" applyNumberFormat="1" applyFont="1" applyFill="1" applyBorder="1"/>
    <xf numFmtId="0" fontId="3" fillId="5" borderId="15" xfId="0" applyFont="1" applyFill="1" applyBorder="1"/>
    <xf numFmtId="0" fontId="3" fillId="5" borderId="19" xfId="0" applyFont="1" applyFill="1" applyBorder="1"/>
    <xf numFmtId="168" fontId="2" fillId="4" borderId="8" xfId="0" applyNumberFormat="1" applyFont="1" applyFill="1" applyBorder="1"/>
    <xf numFmtId="10" fontId="2" fillId="4" borderId="8" xfId="0" applyNumberFormat="1" applyFont="1" applyFill="1" applyBorder="1"/>
    <xf numFmtId="3" fontId="2" fillId="4" borderId="8" xfId="0" applyNumberFormat="1" applyFont="1" applyFill="1" applyBorder="1"/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9" fontId="0" fillId="2" borderId="8" xfId="0" applyNumberFormat="1" applyFont="1" applyFill="1" applyBorder="1" applyAlignment="1">
      <alignment horizontal="right"/>
    </xf>
    <xf numFmtId="10" fontId="0" fillId="2" borderId="8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0" fontId="0" fillId="2" borderId="5" xfId="0" applyNumberFormat="1" applyFont="1" applyFill="1" applyBorder="1" applyAlignment="1">
      <alignment horizontal="right"/>
    </xf>
    <xf numFmtId="167" fontId="0" fillId="2" borderId="8" xfId="0" applyNumberFormat="1" applyFill="1" applyBorder="1" applyAlignment="1">
      <alignment horizontal="right"/>
    </xf>
    <xf numFmtId="49" fontId="0" fillId="2" borderId="8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169" fontId="0" fillId="2" borderId="27" xfId="0" applyNumberFormat="1" applyFont="1" applyFill="1" applyBorder="1"/>
    <xf numFmtId="49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top" wrapText="1"/>
    </xf>
    <xf numFmtId="0" fontId="3" fillId="5" borderId="20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49" fontId="2" fillId="4" borderId="40" xfId="0" applyNumberFormat="1" applyFont="1" applyFill="1" applyBorder="1" applyAlignment="1">
      <alignment horizontal="right" vertical="top" wrapText="1"/>
    </xf>
    <xf numFmtId="49" fontId="0" fillId="2" borderId="7" xfId="0" applyNumberForma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right" vertical="top" wrapText="1"/>
    </xf>
    <xf numFmtId="0" fontId="2" fillId="4" borderId="8" xfId="0" applyNumberFormat="1" applyFont="1" applyFill="1" applyBorder="1" applyAlignment="1">
      <alignment horizontal="right" vertical="top" wrapText="1"/>
    </xf>
    <xf numFmtId="49" fontId="0" fillId="2" borderId="4" xfId="0" applyNumberForma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right" vertical="top" wrapText="1"/>
    </xf>
    <xf numFmtId="49" fontId="0" fillId="2" borderId="41" xfId="0" applyNumberFormat="1" applyFill="1" applyBorder="1" applyAlignment="1">
      <alignment vertical="top" wrapText="1"/>
    </xf>
    <xf numFmtId="0" fontId="2" fillId="5" borderId="15" xfId="0" applyFont="1" applyFill="1" applyBorder="1"/>
    <xf numFmtId="0" fontId="2" fillId="5" borderId="18" xfId="0" applyFont="1" applyFill="1" applyBorder="1"/>
    <xf numFmtId="0" fontId="0" fillId="5" borderId="19" xfId="0" applyFont="1" applyFill="1" applyBorder="1" applyAlignment="1">
      <alignment horizontal="right"/>
    </xf>
    <xf numFmtId="0" fontId="0" fillId="6" borderId="41" xfId="0" applyFont="1" applyFill="1" applyBorder="1"/>
    <xf numFmtId="0" fontId="0" fillId="6" borderId="29" xfId="0" applyFont="1" applyFill="1" applyBorder="1"/>
    <xf numFmtId="3" fontId="0" fillId="6" borderId="40" xfId="0" applyNumberFormat="1" applyFont="1" applyFill="1" applyBorder="1" applyAlignment="1">
      <alignment horizontal="right"/>
    </xf>
    <xf numFmtId="0" fontId="0" fillId="6" borderId="45" xfId="0" quotePrefix="1" applyFont="1" applyFill="1" applyBorder="1"/>
    <xf numFmtId="3" fontId="0" fillId="6" borderId="35" xfId="0" applyNumberFormat="1" applyFont="1" applyFill="1" applyBorder="1" applyAlignment="1">
      <alignment horizontal="right"/>
    </xf>
    <xf numFmtId="0" fontId="2" fillId="6" borderId="41" xfId="0" applyFont="1" applyFill="1" applyBorder="1"/>
    <xf numFmtId="3" fontId="2" fillId="6" borderId="40" xfId="0" applyNumberFormat="1" applyFont="1" applyFill="1" applyBorder="1" applyAlignment="1">
      <alignment horizontal="right"/>
    </xf>
    <xf numFmtId="0" fontId="0" fillId="6" borderId="17" xfId="0" applyFont="1" applyFill="1" applyBorder="1"/>
    <xf numFmtId="9" fontId="0" fillId="6" borderId="5" xfId="0" applyNumberFormat="1" applyFont="1" applyFill="1" applyBorder="1" applyAlignment="1">
      <alignment horizontal="right"/>
    </xf>
    <xf numFmtId="167" fontId="0" fillId="6" borderId="40" xfId="0" applyNumberFormat="1" applyFont="1" applyFill="1" applyBorder="1" applyAlignment="1">
      <alignment horizontal="right"/>
    </xf>
    <xf numFmtId="0" fontId="0" fillId="6" borderId="37" xfId="0" applyFont="1" applyFill="1" applyBorder="1"/>
    <xf numFmtId="0" fontId="0" fillId="6" borderId="38" xfId="0" applyFont="1" applyFill="1" applyBorder="1"/>
    <xf numFmtId="165" fontId="0" fillId="6" borderId="32" xfId="1" applyNumberFormat="1" applyFont="1" applyFill="1" applyBorder="1" applyAlignment="1">
      <alignment horizontal="right"/>
    </xf>
    <xf numFmtId="9" fontId="2" fillId="4" borderId="23" xfId="1" applyFont="1" applyFill="1" applyBorder="1" applyAlignment="1">
      <alignment horizontal="right"/>
    </xf>
    <xf numFmtId="164" fontId="3" fillId="4" borderId="21" xfId="0" applyNumberFormat="1" applyFont="1" applyFill="1" applyBorder="1" applyAlignment="1">
      <alignment horizontal="right" vertical="top" wrapText="1"/>
    </xf>
    <xf numFmtId="49" fontId="0" fillId="2" borderId="16" xfId="0" applyNumberFormat="1" applyFill="1" applyBorder="1" applyAlignment="1">
      <alignment horizontal="left" vertical="top"/>
    </xf>
    <xf numFmtId="0" fontId="0" fillId="2" borderId="30" xfId="0" applyFill="1" applyBorder="1"/>
    <xf numFmtId="49" fontId="0" fillId="2" borderId="46" xfId="0" applyNumberFormat="1" applyFill="1" applyBorder="1" applyAlignment="1">
      <alignment horizontal="left" vertical="top"/>
    </xf>
    <xf numFmtId="0" fontId="0" fillId="2" borderId="28" xfId="0" applyFill="1" applyBorder="1"/>
    <xf numFmtId="0" fontId="0" fillId="2" borderId="47" xfId="0" applyFill="1" applyBorder="1"/>
    <xf numFmtId="49" fontId="2" fillId="2" borderId="10" xfId="0" applyNumberFormat="1" applyFont="1" applyFill="1" applyBorder="1" applyAlignment="1">
      <alignment horizontal="left" vertical="top"/>
    </xf>
    <xf numFmtId="0" fontId="0" fillId="2" borderId="12" xfId="0" applyFill="1" applyBorder="1"/>
    <xf numFmtId="0" fontId="6" fillId="0" borderId="0" xfId="0" applyFont="1"/>
    <xf numFmtId="0" fontId="6" fillId="0" borderId="0" xfId="0" quotePrefix="1" applyFont="1"/>
    <xf numFmtId="166" fontId="0" fillId="2" borderId="5" xfId="0" applyNumberFormat="1" applyFont="1" applyFill="1" applyBorder="1" applyAlignment="1">
      <alignment horizontal="right"/>
    </xf>
    <xf numFmtId="0" fontId="0" fillId="2" borderId="22" xfId="0" applyFill="1" applyBorder="1"/>
    <xf numFmtId="10" fontId="0" fillId="2" borderId="23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4" fillId="3" borderId="20" xfId="0" applyFont="1" applyFill="1" applyBorder="1" applyAlignment="1">
      <alignment vertical="top"/>
    </xf>
    <xf numFmtId="49" fontId="0" fillId="3" borderId="25" xfId="0" applyNumberFormat="1" applyFill="1" applyBorder="1" applyAlignment="1">
      <alignment vertical="top" wrapText="1"/>
    </xf>
    <xf numFmtId="0" fontId="0" fillId="3" borderId="25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4" fillId="3" borderId="37" xfId="0" applyFont="1" applyFill="1" applyBorder="1" applyAlignment="1">
      <alignment vertical="top"/>
    </xf>
    <xf numFmtId="49" fontId="0" fillId="3" borderId="38" xfId="0" applyNumberFormat="1" applyFill="1" applyBorder="1" applyAlignment="1">
      <alignment vertical="top" wrapText="1"/>
    </xf>
    <xf numFmtId="0" fontId="0" fillId="3" borderId="38" xfId="0" applyFill="1" applyBorder="1" applyAlignment="1">
      <alignment vertical="top"/>
    </xf>
    <xf numFmtId="0" fontId="0" fillId="3" borderId="48" xfId="0" applyFill="1" applyBorder="1" applyAlignment="1">
      <alignment vertical="top"/>
    </xf>
    <xf numFmtId="0" fontId="0" fillId="0" borderId="20" xfId="0" applyBorder="1" applyAlignment="1">
      <alignment vertical="top"/>
    </xf>
    <xf numFmtId="49" fontId="0" fillId="0" borderId="25" xfId="0" applyNumberForma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7" xfId="0" applyBorder="1" applyAlignment="1">
      <alignment vertical="top"/>
    </xf>
    <xf numFmtId="49" fontId="0" fillId="0" borderId="38" xfId="0" applyNumberForma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48" xfId="0" applyBorder="1" applyAlignment="1">
      <alignment vertical="top"/>
    </xf>
    <xf numFmtId="0" fontId="2" fillId="0" borderId="0" xfId="0" applyFont="1" applyAlignment="1">
      <alignment vertical="top"/>
    </xf>
    <xf numFmtId="0" fontId="2" fillId="4" borderId="2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 vertical="top" wrapText="1"/>
    </xf>
    <xf numFmtId="49" fontId="2" fillId="7" borderId="11" xfId="0" applyNumberFormat="1" applyFont="1" applyFill="1" applyBorder="1" applyAlignment="1">
      <alignment horizontal="center" vertical="top" wrapText="1"/>
    </xf>
    <xf numFmtId="49" fontId="2" fillId="6" borderId="37" xfId="0" applyNumberFormat="1" applyFont="1" applyFill="1" applyBorder="1" applyAlignment="1">
      <alignment horizontal="center" vertical="top" wrapText="1"/>
    </xf>
    <xf numFmtId="49" fontId="2" fillId="6" borderId="48" xfId="0" applyNumberFormat="1" applyFont="1" applyFill="1" applyBorder="1" applyAlignment="1">
      <alignment horizontal="center" vertical="top" wrapText="1"/>
    </xf>
    <xf numFmtId="0" fontId="0" fillId="0" borderId="49" xfId="0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0" xfId="0" applyBorder="1" applyAlignment="1">
      <alignment vertical="top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Consumo, Geração e Conta no 1° ano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 4 dimensionar'!$C$12</c:f>
              <c:strCache>
                <c:ptCount val="1"/>
                <c:pt idx="0">
                  <c:v>Consumo bruto [kWh]</c:v>
                </c:pt>
              </c:strCache>
            </c:strRef>
          </c:tx>
          <c:marker>
            <c:symbol val="none"/>
          </c:marker>
          <c:cat>
            <c:strRef>
              <c:f>'Ex 4 dimensionar'!$A$13:$A$24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'Ex 4 dimensionar'!$C$13:$C$24</c:f>
              <c:numCache>
                <c:formatCode>#,##0</c:formatCode>
                <c:ptCount val="12"/>
                <c:pt idx="0">
                  <c:v>980</c:v>
                </c:pt>
                <c:pt idx="1">
                  <c:v>960</c:v>
                </c:pt>
                <c:pt idx="2">
                  <c:v>734</c:v>
                </c:pt>
                <c:pt idx="3">
                  <c:v>810</c:v>
                </c:pt>
                <c:pt idx="4">
                  <c:v>650</c:v>
                </c:pt>
                <c:pt idx="5">
                  <c:v>540</c:v>
                </c:pt>
                <c:pt idx="6">
                  <c:v>670</c:v>
                </c:pt>
                <c:pt idx="7">
                  <c:v>640</c:v>
                </c:pt>
                <c:pt idx="8">
                  <c:v>690</c:v>
                </c:pt>
                <c:pt idx="9">
                  <c:v>780</c:v>
                </c:pt>
                <c:pt idx="10">
                  <c:v>820</c:v>
                </c:pt>
                <c:pt idx="11">
                  <c:v>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 4 dimensionar'!$D$12</c:f>
              <c:strCache>
                <c:ptCount val="1"/>
                <c:pt idx="0">
                  <c:v>Geração solar [kWh]</c:v>
                </c:pt>
              </c:strCache>
            </c:strRef>
          </c:tx>
          <c:marker>
            <c:symbol val="none"/>
          </c:marker>
          <c:cat>
            <c:strRef>
              <c:f>'Ex 4 dimensionar'!$A$13:$A$24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'Ex 4 dimensionar'!$D$13:$D$24</c:f>
              <c:numCache>
                <c:formatCode>#,##0</c:formatCode>
                <c:ptCount val="12"/>
                <c:pt idx="0">
                  <c:v>690</c:v>
                </c:pt>
                <c:pt idx="1">
                  <c:v>655</c:v>
                </c:pt>
                <c:pt idx="2">
                  <c:v>640</c:v>
                </c:pt>
                <c:pt idx="3">
                  <c:v>605</c:v>
                </c:pt>
                <c:pt idx="4">
                  <c:v>540</c:v>
                </c:pt>
                <c:pt idx="5">
                  <c:v>515</c:v>
                </c:pt>
                <c:pt idx="6">
                  <c:v>530</c:v>
                </c:pt>
                <c:pt idx="7">
                  <c:v>590</c:v>
                </c:pt>
                <c:pt idx="8">
                  <c:v>575</c:v>
                </c:pt>
                <c:pt idx="9">
                  <c:v>635</c:v>
                </c:pt>
                <c:pt idx="10">
                  <c:v>660</c:v>
                </c:pt>
                <c:pt idx="11">
                  <c:v>660</c:v>
                </c:pt>
              </c:numCache>
            </c:numRef>
          </c:val>
          <c:smooth val="0"/>
        </c:ser>
        <c:ser>
          <c:idx val="2"/>
          <c:order val="2"/>
          <c:tx>
            <c:v>Conta a pagar [kWh]</c:v>
          </c:tx>
          <c:marker>
            <c:symbol val="none"/>
          </c:marker>
          <c:val>
            <c:numRef>
              <c:f>'Ex 4 dimensionar'!$F$13:$F$24</c:f>
              <c:numCache>
                <c:formatCode>#,##0</c:formatCode>
                <c:ptCount val="12"/>
                <c:pt idx="0">
                  <c:v>290</c:v>
                </c:pt>
                <c:pt idx="1">
                  <c:v>305</c:v>
                </c:pt>
                <c:pt idx="2">
                  <c:v>100</c:v>
                </c:pt>
                <c:pt idx="3">
                  <c:v>205</c:v>
                </c:pt>
                <c:pt idx="4">
                  <c:v>110</c:v>
                </c:pt>
                <c:pt idx="5">
                  <c:v>100</c:v>
                </c:pt>
                <c:pt idx="6">
                  <c:v>140</c:v>
                </c:pt>
                <c:pt idx="7">
                  <c:v>100</c:v>
                </c:pt>
                <c:pt idx="8">
                  <c:v>115</c:v>
                </c:pt>
                <c:pt idx="9">
                  <c:v>145</c:v>
                </c:pt>
                <c:pt idx="10">
                  <c:v>160</c:v>
                </c:pt>
                <c:pt idx="11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4672"/>
        <c:axId val="113566464"/>
      </c:lineChart>
      <c:catAx>
        <c:axId val="11356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66464"/>
        <c:crosses val="autoZero"/>
        <c:auto val="1"/>
        <c:lblAlgn val="ctr"/>
        <c:lblOffset val="100"/>
        <c:noMultiLvlLbl val="0"/>
      </c:catAx>
      <c:valAx>
        <c:axId val="11356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564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Fluxo de Caixa Acumulado</c:v>
          </c:tx>
          <c:marker>
            <c:symbol val="none"/>
          </c:marker>
          <c:cat>
            <c:numRef>
              <c:f>'Ex 4 financeiro'!$B$28:$AA$28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 4 financeiro'!$B$38:$AA$38</c:f>
              <c:numCache>
                <c:formatCode>#,##0</c:formatCode>
                <c:ptCount val="26"/>
                <c:pt idx="0">
                  <c:v>-37500</c:v>
                </c:pt>
                <c:pt idx="1">
                  <c:v>-32893.800000000003</c:v>
                </c:pt>
                <c:pt idx="2">
                  <c:v>-27890.51208</c:v>
                </c:pt>
                <c:pt idx="3">
                  <c:v>-22457.089710527998</c:v>
                </c:pt>
                <c:pt idx="4">
                  <c:v>-16557.790537880763</c:v>
                </c:pt>
                <c:pt idx="5">
                  <c:v>-10153.959052239632</c:v>
                </c:pt>
                <c:pt idx="6">
                  <c:v>-3203.791860224911</c:v>
                </c:pt>
                <c:pt idx="7">
                  <c:v>4337.9158243305192</c:v>
                </c:pt>
                <c:pt idx="8">
                  <c:v>12520.043967769245</c:v>
                </c:pt>
                <c:pt idx="9">
                  <c:v>21395.443397440686</c:v>
                </c:pt>
                <c:pt idx="10">
                  <c:v>31021.255119590183</c:v>
                </c:pt>
                <c:pt idx="11">
                  <c:v>41459.255156432308</c:v>
                </c:pt>
                <c:pt idx="12">
                  <c:v>52776.226934032762</c:v>
                </c:pt>
                <c:pt idx="13">
                  <c:v>65044.36341397775</c:v>
                </c:pt>
                <c:pt idx="14">
                  <c:v>78341.701335959529</c:v>
                </c:pt>
                <c:pt idx="15">
                  <c:v>92752.590126366878</c:v>
                </c:pt>
                <c:pt idx="16">
                  <c:v>108368.1982308321</c:v>
                </c:pt>
                <c:pt idx="17">
                  <c:v>125287.05984763399</c:v>
                </c:pt>
                <c:pt idx="18">
                  <c:v>143615.66527516209</c:v>
                </c:pt>
                <c:pt idx="19">
                  <c:v>163469.09834168665</c:v>
                </c:pt>
                <c:pt idx="20">
                  <c:v>184971.72466093628</c:v>
                </c:pt>
                <c:pt idx="21">
                  <c:v>208257.93475405965</c:v>
                </c:pt>
                <c:pt idx="22">
                  <c:v>233472.94639917125</c:v>
                </c:pt>
                <c:pt idx="23">
                  <c:v>260773.67091571447</c:v>
                </c:pt>
                <c:pt idx="24">
                  <c:v>290329.64846433466</c:v>
                </c:pt>
                <c:pt idx="25">
                  <c:v>322324.05784601008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0480"/>
        <c:axId val="122342016"/>
      </c:lineChart>
      <c:catAx>
        <c:axId val="1223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42016"/>
        <c:crosses val="autoZero"/>
        <c:auto val="1"/>
        <c:lblAlgn val="ctr"/>
        <c:lblOffset val="100"/>
        <c:noMultiLvlLbl val="0"/>
      </c:catAx>
      <c:valAx>
        <c:axId val="122342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340480"/>
        <c:crossesAt val="1"/>
        <c:crossBetween val="midCat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28575</xdr:rowOff>
    </xdr:from>
    <xdr:to>
      <xdr:col>4</xdr:col>
      <xdr:colOff>1647824</xdr:colOff>
      <xdr:row>1</xdr:row>
      <xdr:rowOff>277097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28575"/>
          <a:ext cx="1171574" cy="50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154518</xdr:colOff>
      <xdr:row>11</xdr:row>
      <xdr:rowOff>19050</xdr:rowOff>
    </xdr:from>
    <xdr:to>
      <xdr:col>11</xdr:col>
      <xdr:colOff>581025</xdr:colOff>
      <xdr:row>25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825500</xdr:colOff>
      <xdr:row>0</xdr:row>
      <xdr:rowOff>7409</xdr:rowOff>
    </xdr:from>
    <xdr:to>
      <xdr:col>11</xdr:col>
      <xdr:colOff>578400</xdr:colOff>
      <xdr:row>0</xdr:row>
      <xdr:rowOff>502709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8083" y="7409"/>
          <a:ext cx="1287484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1121</xdr:colOff>
      <xdr:row>1</xdr:row>
      <xdr:rowOff>196664</xdr:rowOff>
    </xdr:from>
    <xdr:to>
      <xdr:col>12</xdr:col>
      <xdr:colOff>600075</xdr:colOff>
      <xdr:row>25</xdr:row>
      <xdr:rowOff>196664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476250</xdr:colOff>
      <xdr:row>0</xdr:row>
      <xdr:rowOff>9525</xdr:rowOff>
    </xdr:from>
    <xdr:to>
      <xdr:col>12</xdr:col>
      <xdr:colOff>603952</xdr:colOff>
      <xdr:row>0</xdr:row>
      <xdr:rowOff>531114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9525"/>
          <a:ext cx="1346902" cy="521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5" sqref="A5"/>
    </sheetView>
  </sheetViews>
  <sheetFormatPr defaultRowHeight="15" x14ac:dyDescent="0.25"/>
  <cols>
    <col min="1" max="1" width="20.5703125" style="129" customWidth="1"/>
    <col min="2" max="2" width="25.7109375" style="11" customWidth="1"/>
    <col min="3" max="3" width="15.28515625" style="129" customWidth="1"/>
    <col min="4" max="4" width="15.42578125" style="129" customWidth="1"/>
    <col min="5" max="5" width="25" style="129" customWidth="1"/>
    <col min="6" max="16384" width="9.140625" style="129"/>
  </cols>
  <sheetData>
    <row r="1" spans="1:5" ht="20.25" customHeight="1" x14ac:dyDescent="0.25">
      <c r="A1" s="130" t="s">
        <v>81</v>
      </c>
      <c r="B1" s="131"/>
      <c r="C1" s="132"/>
      <c r="D1" s="132"/>
      <c r="E1" s="133"/>
    </row>
    <row r="2" spans="1:5" ht="22.5" customHeight="1" thickBot="1" x14ac:dyDescent="0.3">
      <c r="A2" s="134" t="s">
        <v>82</v>
      </c>
      <c r="B2" s="135"/>
      <c r="C2" s="136"/>
      <c r="D2" s="136"/>
      <c r="E2" s="137"/>
    </row>
    <row r="3" spans="1:5" x14ac:dyDescent="0.25">
      <c r="A3" s="138" t="s">
        <v>84</v>
      </c>
      <c r="B3" s="139"/>
      <c r="C3" s="140"/>
      <c r="D3" s="140"/>
      <c r="E3" s="141"/>
    </row>
    <row r="4" spans="1:5" x14ac:dyDescent="0.25">
      <c r="A4" s="153" t="s">
        <v>85</v>
      </c>
      <c r="B4" s="154"/>
      <c r="C4" s="155"/>
      <c r="D4" s="155"/>
      <c r="E4" s="156"/>
    </row>
    <row r="5" spans="1:5" ht="15.75" thickBot="1" x14ac:dyDescent="0.3">
      <c r="A5" s="142" t="s">
        <v>86</v>
      </c>
      <c r="B5" s="143"/>
      <c r="C5" s="144"/>
      <c r="D5" s="144"/>
      <c r="E5" s="145"/>
    </row>
    <row r="6" spans="1:5" ht="15.75" thickBot="1" x14ac:dyDescent="0.3"/>
    <row r="7" spans="1:5" ht="15.75" thickBot="1" x14ac:dyDescent="0.3">
      <c r="A7" s="146" t="s">
        <v>78</v>
      </c>
      <c r="B7" s="147" t="s">
        <v>83</v>
      </c>
      <c r="C7" s="148"/>
    </row>
    <row r="8" spans="1:5" ht="17.25" customHeight="1" thickBot="1" x14ac:dyDescent="0.3">
      <c r="B8" s="149" t="s">
        <v>79</v>
      </c>
      <c r="C8" s="150"/>
    </row>
    <row r="9" spans="1:5" ht="18" customHeight="1" thickBot="1" x14ac:dyDescent="0.3">
      <c r="B9" s="151" t="s">
        <v>80</v>
      </c>
      <c r="C9" s="152"/>
    </row>
  </sheetData>
  <mergeCells count="3">
    <mergeCell ref="B7:C7"/>
    <mergeCell ref="B8:C8"/>
    <mergeCell ref="B9:C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90" zoomScaleNormal="90" workbookViewId="0">
      <selection activeCell="H35" sqref="H35"/>
    </sheetView>
  </sheetViews>
  <sheetFormatPr defaultRowHeight="15" x14ac:dyDescent="0.25"/>
  <cols>
    <col min="1" max="1" width="37.5703125" customWidth="1"/>
    <col min="2" max="2" width="14.42578125" customWidth="1"/>
    <col min="3" max="3" width="11.85546875" customWidth="1"/>
    <col min="4" max="4" width="13.7109375" customWidth="1"/>
    <col min="5" max="7" width="12.5703125" customWidth="1"/>
    <col min="8" max="8" width="10.7109375" customWidth="1"/>
    <col min="9" max="9" width="37.85546875" customWidth="1"/>
    <col min="10" max="10" width="13.85546875" customWidth="1"/>
  </cols>
  <sheetData>
    <row r="1" spans="1:15" s="10" customFormat="1" ht="42.95" customHeight="1" thickBot="1" x14ac:dyDescent="0.3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5" ht="15.75" thickBot="1" x14ac:dyDescent="0.3"/>
    <row r="3" spans="1:15" ht="15.75" x14ac:dyDescent="0.25">
      <c r="A3" s="69" t="s">
        <v>67</v>
      </c>
      <c r="B3" s="90"/>
      <c r="C3" s="12"/>
      <c r="D3" s="89" t="s">
        <v>71</v>
      </c>
      <c r="E3" s="91"/>
      <c r="F3" s="91"/>
      <c r="G3" s="90"/>
      <c r="I3" s="69" t="s">
        <v>20</v>
      </c>
      <c r="J3" s="70"/>
    </row>
    <row r="4" spans="1:15" s="11" customFormat="1" ht="15" customHeight="1" x14ac:dyDescent="0.25">
      <c r="A4" s="98" t="s">
        <v>63</v>
      </c>
      <c r="B4" s="94" t="s">
        <v>54</v>
      </c>
      <c r="C4" s="85"/>
      <c r="D4" s="117" t="s">
        <v>62</v>
      </c>
      <c r="E4" s="118"/>
      <c r="F4" s="6"/>
      <c r="G4" s="73">
        <v>100</v>
      </c>
      <c r="I4" s="26" t="s">
        <v>56</v>
      </c>
      <c r="J4" s="71">
        <v>0.8</v>
      </c>
      <c r="O4"/>
    </row>
    <row r="5" spans="1:15" s="11" customFormat="1" ht="15.75" customHeight="1" thickBot="1" x14ac:dyDescent="0.3">
      <c r="A5" s="93" t="s">
        <v>66</v>
      </c>
      <c r="B5" s="92" t="s">
        <v>44</v>
      </c>
      <c r="C5" s="85"/>
      <c r="D5" s="119" t="s">
        <v>46</v>
      </c>
      <c r="E5" s="120"/>
      <c r="F5" s="121"/>
      <c r="G5" s="115">
        <v>0</v>
      </c>
      <c r="I5" s="26" t="s">
        <v>53</v>
      </c>
      <c r="J5" s="72">
        <v>0.01</v>
      </c>
      <c r="O5"/>
    </row>
    <row r="6" spans="1:15" s="11" customFormat="1" ht="16.5" customHeight="1" thickBot="1" x14ac:dyDescent="0.3">
      <c r="A6" s="93" t="s">
        <v>65</v>
      </c>
      <c r="B6" s="95">
        <v>0</v>
      </c>
      <c r="C6" s="85"/>
      <c r="D6" s="122" t="s">
        <v>72</v>
      </c>
      <c r="E6" s="123"/>
      <c r="F6" s="123"/>
      <c r="G6" s="116">
        <v>5</v>
      </c>
      <c r="I6" s="26" t="s">
        <v>21</v>
      </c>
      <c r="J6" s="13">
        <v>25</v>
      </c>
      <c r="O6"/>
    </row>
    <row r="7" spans="1:15" s="11" customFormat="1" x14ac:dyDescent="0.25">
      <c r="A7" s="93" t="s">
        <v>64</v>
      </c>
      <c r="B7" s="95">
        <v>20</v>
      </c>
      <c r="C7" s="85"/>
      <c r="D7" s="85"/>
      <c r="E7"/>
      <c r="F7"/>
      <c r="G7" s="85"/>
      <c r="I7" s="26" t="s">
        <v>22</v>
      </c>
      <c r="J7" s="73">
        <v>7500</v>
      </c>
      <c r="O7"/>
    </row>
    <row r="8" spans="1:15" s="66" customFormat="1" ht="15" customHeight="1" thickBot="1" x14ac:dyDescent="0.3">
      <c r="A8" s="96" t="s">
        <v>68</v>
      </c>
      <c r="B8" s="97">
        <v>1</v>
      </c>
      <c r="C8" s="86"/>
      <c r="D8" s="87"/>
      <c r="E8" s="86"/>
      <c r="F8" s="86"/>
      <c r="G8" s="86"/>
      <c r="I8" s="26" t="s">
        <v>58</v>
      </c>
      <c r="J8" s="72">
        <v>0.03</v>
      </c>
      <c r="O8" s="10"/>
    </row>
    <row r="9" spans="1:15" s="66" customFormat="1" ht="15" customHeight="1" x14ac:dyDescent="0.25">
      <c r="A9" s="85"/>
      <c r="B9"/>
      <c r="C9" s="86"/>
      <c r="D9" s="87"/>
      <c r="E9" s="86"/>
      <c r="F9" s="86"/>
      <c r="G9" s="86"/>
      <c r="I9" s="26" t="s">
        <v>57</v>
      </c>
      <c r="J9" s="72">
        <v>0.05</v>
      </c>
      <c r="O9" s="10"/>
    </row>
    <row r="10" spans="1:15" s="66" customFormat="1" ht="15" customHeight="1" thickBot="1" x14ac:dyDescent="0.3">
      <c r="A10" s="85"/>
      <c r="B10"/>
      <c r="C10" s="86"/>
      <c r="D10" s="87"/>
      <c r="E10" s="86"/>
      <c r="F10" s="86"/>
      <c r="G10" s="86"/>
      <c r="I10" s="67" t="s">
        <v>77</v>
      </c>
      <c r="J10" s="68">
        <v>0.09</v>
      </c>
      <c r="O10" s="10"/>
    </row>
    <row r="11" spans="1:15" s="11" customFormat="1" ht="13.5" customHeight="1" thickBot="1" x14ac:dyDescent="0.3">
      <c r="A11" s="88"/>
      <c r="B11" s="85"/>
      <c r="C11" s="85"/>
      <c r="D11" s="88"/>
      <c r="E11" s="85"/>
      <c r="F11" s="85"/>
      <c r="G11" s="85"/>
      <c r="O11"/>
    </row>
    <row r="12" spans="1:15" s="11" customFormat="1" ht="36.75" customHeight="1" x14ac:dyDescent="0.25">
      <c r="A12" s="14"/>
      <c r="B12" s="15" t="s">
        <v>55</v>
      </c>
      <c r="C12" s="50" t="s">
        <v>73</v>
      </c>
      <c r="D12" s="15" t="s">
        <v>69</v>
      </c>
      <c r="E12" s="16" t="s">
        <v>74</v>
      </c>
      <c r="F12" s="50" t="s">
        <v>43</v>
      </c>
      <c r="G12" s="16" t="s">
        <v>41</v>
      </c>
      <c r="O12"/>
    </row>
    <row r="13" spans="1:15" x14ac:dyDescent="0.25">
      <c r="A13" s="17" t="s">
        <v>2</v>
      </c>
      <c r="B13" s="46">
        <v>138</v>
      </c>
      <c r="C13" s="59">
        <v>980</v>
      </c>
      <c r="D13" s="41">
        <f t="shared" ref="D13:D24" si="0">B13*G$6/B$8*(1-G$5)</f>
        <v>690</v>
      </c>
      <c r="E13" s="18">
        <f t="shared" ref="E13:E25" si="1">C13-D13</f>
        <v>290</v>
      </c>
      <c r="F13" s="51">
        <f t="shared" ref="F13:F24" si="2">IF(E13&gt;G$4,E13,G$4)</f>
        <v>290</v>
      </c>
      <c r="G13" s="18">
        <f t="shared" ref="G13:G24" si="3">IF(E13&lt;0,G$4,IF(E13&lt;G$4,G$4-E13,0))</f>
        <v>0</v>
      </c>
    </row>
    <row r="14" spans="1:15" x14ac:dyDescent="0.25">
      <c r="A14" s="4" t="s">
        <v>3</v>
      </c>
      <c r="B14" s="46">
        <v>131</v>
      </c>
      <c r="C14" s="59">
        <v>960</v>
      </c>
      <c r="D14" s="41">
        <f t="shared" si="0"/>
        <v>655</v>
      </c>
      <c r="E14" s="18">
        <f t="shared" si="1"/>
        <v>305</v>
      </c>
      <c r="F14" s="51">
        <f t="shared" si="2"/>
        <v>305</v>
      </c>
      <c r="G14" s="18">
        <f t="shared" si="3"/>
        <v>0</v>
      </c>
    </row>
    <row r="15" spans="1:15" x14ac:dyDescent="0.25">
      <c r="A15" s="4" t="s">
        <v>4</v>
      </c>
      <c r="B15" s="46">
        <v>128</v>
      </c>
      <c r="C15" s="59">
        <v>734</v>
      </c>
      <c r="D15" s="41">
        <f t="shared" si="0"/>
        <v>640</v>
      </c>
      <c r="E15" s="18">
        <f t="shared" si="1"/>
        <v>94</v>
      </c>
      <c r="F15" s="51">
        <f t="shared" si="2"/>
        <v>100</v>
      </c>
      <c r="G15" s="18">
        <f t="shared" si="3"/>
        <v>6</v>
      </c>
    </row>
    <row r="16" spans="1:15" x14ac:dyDescent="0.25">
      <c r="A16" s="4" t="s">
        <v>5</v>
      </c>
      <c r="B16" s="46">
        <v>121</v>
      </c>
      <c r="C16" s="59">
        <v>810</v>
      </c>
      <c r="D16" s="41">
        <f t="shared" si="0"/>
        <v>605</v>
      </c>
      <c r="E16" s="18">
        <f t="shared" si="1"/>
        <v>205</v>
      </c>
      <c r="F16" s="51">
        <f t="shared" si="2"/>
        <v>205</v>
      </c>
      <c r="G16" s="18">
        <f t="shared" si="3"/>
        <v>0</v>
      </c>
    </row>
    <row r="17" spans="1:9" x14ac:dyDescent="0.25">
      <c r="A17" s="4" t="s">
        <v>6</v>
      </c>
      <c r="B17" s="46">
        <v>108</v>
      </c>
      <c r="C17" s="59">
        <v>650</v>
      </c>
      <c r="D17" s="41">
        <f t="shared" si="0"/>
        <v>540</v>
      </c>
      <c r="E17" s="18">
        <f t="shared" si="1"/>
        <v>110</v>
      </c>
      <c r="F17" s="51">
        <f t="shared" si="2"/>
        <v>110</v>
      </c>
      <c r="G17" s="18">
        <f t="shared" si="3"/>
        <v>0</v>
      </c>
    </row>
    <row r="18" spans="1:9" x14ac:dyDescent="0.25">
      <c r="A18" s="4" t="s">
        <v>7</v>
      </c>
      <c r="B18" s="46">
        <v>103</v>
      </c>
      <c r="C18" s="59">
        <v>540</v>
      </c>
      <c r="D18" s="41">
        <f t="shared" si="0"/>
        <v>515</v>
      </c>
      <c r="E18" s="18">
        <f t="shared" si="1"/>
        <v>25</v>
      </c>
      <c r="F18" s="51">
        <f t="shared" si="2"/>
        <v>100</v>
      </c>
      <c r="G18" s="18">
        <f t="shared" si="3"/>
        <v>75</v>
      </c>
    </row>
    <row r="19" spans="1:9" x14ac:dyDescent="0.25">
      <c r="A19" s="4" t="s">
        <v>8</v>
      </c>
      <c r="B19" s="46">
        <v>106</v>
      </c>
      <c r="C19" s="59">
        <v>670</v>
      </c>
      <c r="D19" s="41">
        <f t="shared" si="0"/>
        <v>530</v>
      </c>
      <c r="E19" s="18">
        <f t="shared" si="1"/>
        <v>140</v>
      </c>
      <c r="F19" s="51">
        <f t="shared" si="2"/>
        <v>140</v>
      </c>
      <c r="G19" s="18">
        <f t="shared" si="3"/>
        <v>0</v>
      </c>
    </row>
    <row r="20" spans="1:9" x14ac:dyDescent="0.25">
      <c r="A20" s="4" t="s">
        <v>9</v>
      </c>
      <c r="B20" s="46">
        <v>118</v>
      </c>
      <c r="C20" s="59">
        <v>640</v>
      </c>
      <c r="D20" s="41">
        <f t="shared" si="0"/>
        <v>590</v>
      </c>
      <c r="E20" s="18">
        <f t="shared" si="1"/>
        <v>50</v>
      </c>
      <c r="F20" s="51">
        <f t="shared" si="2"/>
        <v>100</v>
      </c>
      <c r="G20" s="18">
        <f t="shared" si="3"/>
        <v>50</v>
      </c>
    </row>
    <row r="21" spans="1:9" x14ac:dyDescent="0.25">
      <c r="A21" s="4" t="s">
        <v>10</v>
      </c>
      <c r="B21" s="46">
        <v>115</v>
      </c>
      <c r="C21" s="59">
        <v>690</v>
      </c>
      <c r="D21" s="41">
        <f t="shared" si="0"/>
        <v>575</v>
      </c>
      <c r="E21" s="18">
        <f t="shared" si="1"/>
        <v>115</v>
      </c>
      <c r="F21" s="51">
        <f t="shared" si="2"/>
        <v>115</v>
      </c>
      <c r="G21" s="18">
        <f t="shared" si="3"/>
        <v>0</v>
      </c>
    </row>
    <row r="22" spans="1:9" x14ac:dyDescent="0.25">
      <c r="A22" s="4" t="s">
        <v>11</v>
      </c>
      <c r="B22" s="46">
        <v>127</v>
      </c>
      <c r="C22" s="59">
        <v>780</v>
      </c>
      <c r="D22" s="41">
        <f t="shared" si="0"/>
        <v>635</v>
      </c>
      <c r="E22" s="18">
        <f t="shared" si="1"/>
        <v>145</v>
      </c>
      <c r="F22" s="51">
        <f t="shared" si="2"/>
        <v>145</v>
      </c>
      <c r="G22" s="18">
        <f t="shared" si="3"/>
        <v>0</v>
      </c>
    </row>
    <row r="23" spans="1:9" x14ac:dyDescent="0.25">
      <c r="A23" s="4" t="s">
        <v>12</v>
      </c>
      <c r="B23" s="46">
        <v>132</v>
      </c>
      <c r="C23" s="59">
        <v>820</v>
      </c>
      <c r="D23" s="41">
        <f t="shared" si="0"/>
        <v>660</v>
      </c>
      <c r="E23" s="18">
        <f t="shared" si="1"/>
        <v>160</v>
      </c>
      <c r="F23" s="51">
        <f t="shared" si="2"/>
        <v>160</v>
      </c>
      <c r="G23" s="18">
        <f t="shared" si="3"/>
        <v>0</v>
      </c>
    </row>
    <row r="24" spans="1:9" ht="15.75" thickBot="1" x14ac:dyDescent="0.3">
      <c r="A24" s="19" t="s">
        <v>13</v>
      </c>
      <c r="B24" s="47">
        <v>132</v>
      </c>
      <c r="C24" s="60">
        <v>920</v>
      </c>
      <c r="D24" s="49">
        <f t="shared" si="0"/>
        <v>660</v>
      </c>
      <c r="E24" s="20">
        <f t="shared" si="1"/>
        <v>260</v>
      </c>
      <c r="F24" s="52">
        <f t="shared" si="2"/>
        <v>260</v>
      </c>
      <c r="G24" s="20">
        <f t="shared" si="3"/>
        <v>0</v>
      </c>
    </row>
    <row r="25" spans="1:9" ht="16.5" thickTop="1" thickBot="1" x14ac:dyDescent="0.3">
      <c r="A25" s="21" t="s">
        <v>1</v>
      </c>
      <c r="B25" s="22">
        <f>SUM(B13:B24)</f>
        <v>1459</v>
      </c>
      <c r="C25" s="53">
        <f>SUM(C13:C24)</f>
        <v>9194</v>
      </c>
      <c r="D25" s="22">
        <f>SUM(D13:D24)</f>
        <v>7295</v>
      </c>
      <c r="E25" s="23">
        <f t="shared" si="1"/>
        <v>1899</v>
      </c>
      <c r="F25" s="54">
        <f>SUM(F13:F24)</f>
        <v>2030</v>
      </c>
      <c r="G25" s="55">
        <f>SUM(G13:G24)</f>
        <v>131</v>
      </c>
    </row>
    <row r="26" spans="1:9" ht="15.75" thickBot="1" x14ac:dyDescent="0.3">
      <c r="A26" s="56" t="s">
        <v>40</v>
      </c>
      <c r="B26" s="57">
        <f>AVERAGE(B13:B24)</f>
        <v>121.58333333333333</v>
      </c>
      <c r="C26" s="61">
        <f t="shared" ref="C26:F26" si="4">AVERAGE(C13:C24)</f>
        <v>766.16666666666663</v>
      </c>
      <c r="D26" s="57">
        <f t="shared" si="4"/>
        <v>607.91666666666663</v>
      </c>
      <c r="E26" s="84">
        <f t="shared" si="4"/>
        <v>158.25</v>
      </c>
      <c r="F26" s="57">
        <f t="shared" si="4"/>
        <v>169.16666666666666</v>
      </c>
      <c r="G26" s="58"/>
    </row>
    <row r="27" spans="1:9" ht="15.75" thickBot="1" x14ac:dyDescent="0.3">
      <c r="I27" s="124" t="s">
        <v>61</v>
      </c>
    </row>
    <row r="28" spans="1:9" x14ac:dyDescent="0.25">
      <c r="A28" s="99" t="s">
        <v>48</v>
      </c>
      <c r="B28" s="101"/>
      <c r="D28" s="99" t="s">
        <v>59</v>
      </c>
      <c r="E28" s="100"/>
      <c r="F28" s="100"/>
      <c r="G28" s="101"/>
      <c r="I28" s="125" t="s">
        <v>70</v>
      </c>
    </row>
    <row r="29" spans="1:9" x14ac:dyDescent="0.25">
      <c r="A29" s="102" t="s">
        <v>49</v>
      </c>
      <c r="B29" s="104">
        <f>D25</f>
        <v>7295</v>
      </c>
      <c r="D29" s="102" t="s">
        <v>36</v>
      </c>
      <c r="E29" s="103"/>
      <c r="F29" s="103"/>
      <c r="G29" s="104">
        <f>'Ex 4 financeiro'!B19</f>
        <v>37500</v>
      </c>
    </row>
    <row r="30" spans="1:9" ht="15.75" thickBot="1" x14ac:dyDescent="0.3">
      <c r="A30" s="105" t="s">
        <v>52</v>
      </c>
      <c r="B30" s="106">
        <f>G25</f>
        <v>131</v>
      </c>
      <c r="D30" s="102" t="s">
        <v>28</v>
      </c>
      <c r="E30" s="103"/>
      <c r="F30" s="103"/>
      <c r="G30" s="111">
        <f>'Ex 4 financeiro'!B24</f>
        <v>6.4248098698900673</v>
      </c>
    </row>
    <row r="31" spans="1:9" ht="16.5" thickTop="1" thickBot="1" x14ac:dyDescent="0.3">
      <c r="A31" s="107" t="s">
        <v>42</v>
      </c>
      <c r="B31" s="108">
        <f>B29-B30</f>
        <v>7164</v>
      </c>
      <c r="D31" s="112" t="s">
        <v>51</v>
      </c>
      <c r="E31" s="113"/>
      <c r="F31" s="113"/>
      <c r="G31" s="114">
        <f>'Ex 4 financeiro'!B25</f>
        <v>0.19741552484294322</v>
      </c>
    </row>
    <row r="32" spans="1:9" ht="15.75" thickBot="1" x14ac:dyDescent="0.3">
      <c r="A32" s="109" t="s">
        <v>50</v>
      </c>
      <c r="B32" s="110">
        <f>B31/C25</f>
        <v>0.77920382858385906</v>
      </c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zoomScale="90" zoomScaleNormal="90" workbookViewId="0">
      <selection activeCell="O22" sqref="O22"/>
    </sheetView>
  </sheetViews>
  <sheetFormatPr defaultRowHeight="15" x14ac:dyDescent="0.25"/>
  <cols>
    <col min="1" max="1" width="35.85546875" bestFit="1" customWidth="1"/>
    <col min="2" max="2" width="17.42578125" style="2" customWidth="1"/>
    <col min="3" max="5" width="10.7109375" customWidth="1"/>
    <col min="6" max="6" width="11.28515625" customWidth="1"/>
  </cols>
  <sheetData>
    <row r="1" spans="1:13" s="10" customFormat="1" ht="42.95" customHeight="1" thickBot="1" x14ac:dyDescent="0.3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.75" thickBot="1" x14ac:dyDescent="0.3">
      <c r="B2"/>
    </row>
    <row r="3" spans="1:13" ht="15.75" x14ac:dyDescent="0.25">
      <c r="A3" s="24" t="s">
        <v>14</v>
      </c>
      <c r="B3" s="25" t="s">
        <v>0</v>
      </c>
    </row>
    <row r="4" spans="1:13" x14ac:dyDescent="0.25">
      <c r="A4" s="26" t="s">
        <v>15</v>
      </c>
      <c r="B4" s="81" t="str">
        <f>'Ex 4 dimensionar'!B5</f>
        <v>Santos Dumont</v>
      </c>
    </row>
    <row r="5" spans="1:13" x14ac:dyDescent="0.25">
      <c r="A5" s="26" t="s">
        <v>16</v>
      </c>
      <c r="B5" s="48">
        <f>'Ex 4 dimensionar'!C25</f>
        <v>9194</v>
      </c>
    </row>
    <row r="6" spans="1:13" ht="15.75" thickBot="1" x14ac:dyDescent="0.3">
      <c r="A6" s="5" t="s">
        <v>17</v>
      </c>
      <c r="B6" s="126">
        <f>'Ex 4 dimensionar'!J4</f>
        <v>0.8</v>
      </c>
      <c r="F6" s="1"/>
    </row>
    <row r="7" spans="1:13" ht="15.75" thickBot="1" x14ac:dyDescent="0.3">
      <c r="A7" s="62"/>
      <c r="B7" s="63"/>
      <c r="C7" s="12"/>
    </row>
    <row r="8" spans="1:13" x14ac:dyDescent="0.25">
      <c r="A8" s="27" t="s">
        <v>18</v>
      </c>
      <c r="B8" s="28"/>
    </row>
    <row r="9" spans="1:13" x14ac:dyDescent="0.25">
      <c r="A9" s="4" t="s">
        <v>19</v>
      </c>
      <c r="B9" s="80">
        <f>'Ex 4 dimensionar'!G6</f>
        <v>5</v>
      </c>
    </row>
    <row r="10" spans="1:13" x14ac:dyDescent="0.25">
      <c r="A10" s="4" t="s">
        <v>47</v>
      </c>
      <c r="B10" s="48">
        <f>'Ex 4 dimensionar'!B31</f>
        <v>7164</v>
      </c>
    </row>
    <row r="11" spans="1:13" ht="15.75" thickBot="1" x14ac:dyDescent="0.3">
      <c r="A11" s="5" t="s">
        <v>53</v>
      </c>
      <c r="B11" s="79">
        <f>'Ex 4 dimensionar'!J5</f>
        <v>0.01</v>
      </c>
    </row>
    <row r="12" spans="1:13" ht="15.75" thickBot="1" x14ac:dyDescent="0.3">
      <c r="A12" s="62"/>
      <c r="B12" s="63"/>
      <c r="C12" s="12"/>
    </row>
    <row r="13" spans="1:13" ht="15.75" x14ac:dyDescent="0.25">
      <c r="A13" s="24" t="s">
        <v>20</v>
      </c>
      <c r="B13" s="25"/>
    </row>
    <row r="14" spans="1:13" x14ac:dyDescent="0.25">
      <c r="A14" s="4" t="s">
        <v>21</v>
      </c>
      <c r="B14" s="74">
        <v>25</v>
      </c>
    </row>
    <row r="15" spans="1:13" x14ac:dyDescent="0.25">
      <c r="A15" s="4" t="s">
        <v>22</v>
      </c>
      <c r="B15" s="75">
        <f>'Ex 4 dimensionar'!J7</f>
        <v>7500</v>
      </c>
    </row>
    <row r="16" spans="1:13" x14ac:dyDescent="0.25">
      <c r="A16" s="4" t="s">
        <v>45</v>
      </c>
      <c r="B16" s="76">
        <f>'Ex 4 dimensionar'!J8</f>
        <v>0.03</v>
      </c>
    </row>
    <row r="17" spans="1:27" x14ac:dyDescent="0.25">
      <c r="A17" s="4" t="s">
        <v>23</v>
      </c>
      <c r="B17" s="77">
        <f>'Ex 4 dimensionar'!J9</f>
        <v>0.05</v>
      </c>
    </row>
    <row r="18" spans="1:27" x14ac:dyDescent="0.25">
      <c r="A18" s="127" t="s">
        <v>76</v>
      </c>
      <c r="B18" s="128">
        <f>'Ex 4 dimensionar'!J10</f>
        <v>0.09</v>
      </c>
    </row>
    <row r="19" spans="1:27" ht="15.75" thickBot="1" x14ac:dyDescent="0.3">
      <c r="A19" s="29" t="s">
        <v>24</v>
      </c>
      <c r="B19" s="78">
        <f>B9*B15</f>
        <v>37500</v>
      </c>
    </row>
    <row r="20" spans="1:27" ht="15.75" thickBot="1" x14ac:dyDescent="0.3">
      <c r="A20" s="30"/>
      <c r="B20" s="31"/>
      <c r="F20" s="1"/>
    </row>
    <row r="21" spans="1:27" x14ac:dyDescent="0.25">
      <c r="A21" s="27" t="s">
        <v>25</v>
      </c>
      <c r="B21" s="28"/>
    </row>
    <row r="22" spans="1:27" x14ac:dyDescent="0.25">
      <c r="A22" s="32" t="s">
        <v>26</v>
      </c>
      <c r="B22" s="33">
        <f>B10/B5</f>
        <v>0.77920382858385906</v>
      </c>
    </row>
    <row r="23" spans="1:27" x14ac:dyDescent="0.25">
      <c r="A23" s="32" t="s">
        <v>27</v>
      </c>
      <c r="B23" s="64">
        <f>C35</f>
        <v>4606.2000000000007</v>
      </c>
    </row>
    <row r="24" spans="1:27" x14ac:dyDescent="0.25">
      <c r="A24" s="34" t="s">
        <v>28</v>
      </c>
      <c r="B24" s="35">
        <f>SUM(C40:AA40)</f>
        <v>6.4248098698900673</v>
      </c>
    </row>
    <row r="25" spans="1:27" x14ac:dyDescent="0.25">
      <c r="A25" s="34" t="s">
        <v>29</v>
      </c>
      <c r="B25" s="36">
        <f>IRR(B37:AA37)</f>
        <v>0.19741552484294322</v>
      </c>
    </row>
    <row r="26" spans="1:27" ht="15.75" thickBot="1" x14ac:dyDescent="0.3">
      <c r="A26" s="37" t="s">
        <v>30</v>
      </c>
      <c r="B26" s="65">
        <f>NPV(B17,C37:AA37)+B37</f>
        <v>128853.67156367458</v>
      </c>
    </row>
    <row r="27" spans="1:27" ht="15.75" thickBot="1" x14ac:dyDescent="0.3"/>
    <row r="28" spans="1:27" x14ac:dyDescent="0.25">
      <c r="A28" s="38" t="s">
        <v>31</v>
      </c>
      <c r="B28" s="39">
        <v>0</v>
      </c>
      <c r="C28" s="40">
        <v>1</v>
      </c>
      <c r="D28" s="40">
        <f t="shared" ref="D28:AA28" si="0">IF(C28="","",IF(C28+1&lt;=$B14,C28+1,""))</f>
        <v>2</v>
      </c>
      <c r="E28" s="40">
        <f t="shared" si="0"/>
        <v>3</v>
      </c>
      <c r="F28" s="40">
        <f t="shared" si="0"/>
        <v>4</v>
      </c>
      <c r="G28" s="40">
        <f t="shared" si="0"/>
        <v>5</v>
      </c>
      <c r="H28" s="40">
        <f t="shared" si="0"/>
        <v>6</v>
      </c>
      <c r="I28" s="40">
        <f t="shared" si="0"/>
        <v>7</v>
      </c>
      <c r="J28" s="40">
        <f t="shared" si="0"/>
        <v>8</v>
      </c>
      <c r="K28" s="40">
        <f t="shared" si="0"/>
        <v>9</v>
      </c>
      <c r="L28" s="40">
        <f t="shared" si="0"/>
        <v>10</v>
      </c>
      <c r="M28" s="40">
        <f t="shared" si="0"/>
        <v>11</v>
      </c>
      <c r="N28" s="40">
        <f t="shared" si="0"/>
        <v>12</v>
      </c>
      <c r="O28" s="40">
        <f t="shared" si="0"/>
        <v>13</v>
      </c>
      <c r="P28" s="40">
        <f t="shared" si="0"/>
        <v>14</v>
      </c>
      <c r="Q28" s="40">
        <f t="shared" si="0"/>
        <v>15</v>
      </c>
      <c r="R28" s="40">
        <f t="shared" si="0"/>
        <v>16</v>
      </c>
      <c r="S28" s="40">
        <f t="shared" si="0"/>
        <v>17</v>
      </c>
      <c r="T28" s="40">
        <f t="shared" si="0"/>
        <v>18</v>
      </c>
      <c r="U28" s="40">
        <f t="shared" si="0"/>
        <v>19</v>
      </c>
      <c r="V28" s="40">
        <f t="shared" si="0"/>
        <v>20</v>
      </c>
      <c r="W28" s="40">
        <f t="shared" si="0"/>
        <v>21</v>
      </c>
      <c r="X28" s="40">
        <f t="shared" si="0"/>
        <v>22</v>
      </c>
      <c r="Y28" s="40">
        <f t="shared" si="0"/>
        <v>23</v>
      </c>
      <c r="Z28" s="40">
        <f t="shared" si="0"/>
        <v>24</v>
      </c>
      <c r="AA28" s="40">
        <f t="shared" si="0"/>
        <v>25</v>
      </c>
    </row>
    <row r="29" spans="1:27" x14ac:dyDescent="0.25">
      <c r="A29" s="4" t="s">
        <v>47</v>
      </c>
      <c r="B29" s="6"/>
      <c r="C29" s="41">
        <f>B10</f>
        <v>7164</v>
      </c>
      <c r="D29" s="41">
        <f>C29*(1-$B$11)</f>
        <v>7092.36</v>
      </c>
      <c r="E29" s="41">
        <f t="shared" ref="E29:AA29" si="1">D29*(1-$B$11)</f>
        <v>7021.4363999999996</v>
      </c>
      <c r="F29" s="41">
        <f t="shared" si="1"/>
        <v>6951.2220359999992</v>
      </c>
      <c r="G29" s="41">
        <f t="shared" si="1"/>
        <v>6881.7098156399989</v>
      </c>
      <c r="H29" s="41">
        <f t="shared" si="1"/>
        <v>6812.892717483599</v>
      </c>
      <c r="I29" s="41">
        <f t="shared" si="1"/>
        <v>6744.7637903087625</v>
      </c>
      <c r="J29" s="41">
        <f t="shared" si="1"/>
        <v>6677.316152405675</v>
      </c>
      <c r="K29" s="41">
        <f t="shared" si="1"/>
        <v>6610.5429908816186</v>
      </c>
      <c r="L29" s="41">
        <f t="shared" si="1"/>
        <v>6544.4375609728022</v>
      </c>
      <c r="M29" s="41">
        <f t="shared" si="1"/>
        <v>6478.9931853630742</v>
      </c>
      <c r="N29" s="41">
        <f t="shared" si="1"/>
        <v>6414.2032535094431</v>
      </c>
      <c r="O29" s="41">
        <f t="shared" si="1"/>
        <v>6350.0612209743485</v>
      </c>
      <c r="P29" s="41">
        <f t="shared" si="1"/>
        <v>6286.5606087646047</v>
      </c>
      <c r="Q29" s="41">
        <f t="shared" si="1"/>
        <v>6223.6950026769582</v>
      </c>
      <c r="R29" s="41">
        <f t="shared" si="1"/>
        <v>6161.4580526501886</v>
      </c>
      <c r="S29" s="41">
        <f t="shared" si="1"/>
        <v>6099.8434721236863</v>
      </c>
      <c r="T29" s="41">
        <f t="shared" si="1"/>
        <v>6038.8450374024496</v>
      </c>
      <c r="U29" s="41">
        <f t="shared" si="1"/>
        <v>5978.456587028425</v>
      </c>
      <c r="V29" s="41">
        <f t="shared" si="1"/>
        <v>5918.6720211581405</v>
      </c>
      <c r="W29" s="41">
        <f t="shared" si="1"/>
        <v>5859.4853009465587</v>
      </c>
      <c r="X29" s="41">
        <f t="shared" si="1"/>
        <v>5800.8904479370931</v>
      </c>
      <c r="Y29" s="41">
        <f t="shared" si="1"/>
        <v>5742.8815434577218</v>
      </c>
      <c r="Z29" s="41">
        <f t="shared" si="1"/>
        <v>5685.4527280231441</v>
      </c>
      <c r="AA29" s="41">
        <f t="shared" si="1"/>
        <v>5628.5982007429129</v>
      </c>
    </row>
    <row r="30" spans="1:27" x14ac:dyDescent="0.25">
      <c r="A30" s="4" t="s">
        <v>32</v>
      </c>
      <c r="B30" s="6"/>
      <c r="C30" s="42"/>
      <c r="D30" s="42">
        <f>$B$18</f>
        <v>0.09</v>
      </c>
      <c r="E30" s="42">
        <f>D30</f>
        <v>0.09</v>
      </c>
      <c r="F30" s="42">
        <f t="shared" ref="F30:AA30" si="2">E30</f>
        <v>0.09</v>
      </c>
      <c r="G30" s="42">
        <f t="shared" si="2"/>
        <v>0.09</v>
      </c>
      <c r="H30" s="42">
        <f t="shared" si="2"/>
        <v>0.09</v>
      </c>
      <c r="I30" s="42">
        <f t="shared" si="2"/>
        <v>0.09</v>
      </c>
      <c r="J30" s="42">
        <f t="shared" si="2"/>
        <v>0.09</v>
      </c>
      <c r="K30" s="42">
        <f t="shared" si="2"/>
        <v>0.09</v>
      </c>
      <c r="L30" s="42">
        <f t="shared" si="2"/>
        <v>0.09</v>
      </c>
      <c r="M30" s="42">
        <f t="shared" si="2"/>
        <v>0.09</v>
      </c>
      <c r="N30" s="42">
        <f t="shared" si="2"/>
        <v>0.09</v>
      </c>
      <c r="O30" s="42">
        <f t="shared" si="2"/>
        <v>0.09</v>
      </c>
      <c r="P30" s="42">
        <f t="shared" si="2"/>
        <v>0.09</v>
      </c>
      <c r="Q30" s="42">
        <f t="shared" si="2"/>
        <v>0.09</v>
      </c>
      <c r="R30" s="42">
        <f t="shared" si="2"/>
        <v>0.09</v>
      </c>
      <c r="S30" s="42">
        <f t="shared" si="2"/>
        <v>0.09</v>
      </c>
      <c r="T30" s="42">
        <f t="shared" si="2"/>
        <v>0.09</v>
      </c>
      <c r="U30" s="42">
        <f t="shared" si="2"/>
        <v>0.09</v>
      </c>
      <c r="V30" s="42">
        <f t="shared" si="2"/>
        <v>0.09</v>
      </c>
      <c r="W30" s="42">
        <f t="shared" si="2"/>
        <v>0.09</v>
      </c>
      <c r="X30" s="42">
        <f t="shared" si="2"/>
        <v>0.09</v>
      </c>
      <c r="Y30" s="42">
        <f t="shared" si="2"/>
        <v>0.09</v>
      </c>
      <c r="Z30" s="42">
        <f t="shared" si="2"/>
        <v>0.09</v>
      </c>
      <c r="AA30" s="42">
        <f t="shared" si="2"/>
        <v>0.09</v>
      </c>
    </row>
    <row r="31" spans="1:27" x14ac:dyDescent="0.25">
      <c r="A31" s="4" t="str">
        <f>A6</f>
        <v>Tarifa de energia [R$ / kWh]</v>
      </c>
      <c r="B31" s="6"/>
      <c r="C31" s="43">
        <f>$B$6*(1+C30)</f>
        <v>0.8</v>
      </c>
      <c r="D31" s="43">
        <f t="shared" ref="D31:AA31" si="3">IF(D$28="","",C31*(1+D$30))</f>
        <v>0.87200000000000011</v>
      </c>
      <c r="E31" s="43">
        <f t="shared" si="3"/>
        <v>0.95048000000000021</v>
      </c>
      <c r="F31" s="43">
        <f t="shared" si="3"/>
        <v>1.0360232000000003</v>
      </c>
      <c r="G31" s="43">
        <f t="shared" si="3"/>
        <v>1.1292652880000003</v>
      </c>
      <c r="H31" s="43">
        <f t="shared" si="3"/>
        <v>1.2308991639200004</v>
      </c>
      <c r="I31" s="43">
        <f t="shared" si="3"/>
        <v>1.3416800886728006</v>
      </c>
      <c r="J31" s="43">
        <f t="shared" si="3"/>
        <v>1.4624312966533528</v>
      </c>
      <c r="K31" s="43">
        <f t="shared" si="3"/>
        <v>1.5940501133521547</v>
      </c>
      <c r="L31" s="43">
        <f t="shared" si="3"/>
        <v>1.7375146235538488</v>
      </c>
      <c r="M31" s="43">
        <f t="shared" si="3"/>
        <v>1.8938909396736954</v>
      </c>
      <c r="N31" s="43">
        <f t="shared" si="3"/>
        <v>2.0643411242443279</v>
      </c>
      <c r="O31" s="43">
        <f t="shared" si="3"/>
        <v>2.2501318254263176</v>
      </c>
      <c r="P31" s="43">
        <f t="shared" si="3"/>
        <v>2.4526436897146864</v>
      </c>
      <c r="Q31" s="43">
        <f t="shared" si="3"/>
        <v>2.6733816217890083</v>
      </c>
      <c r="R31" s="43">
        <f t="shared" si="3"/>
        <v>2.9139859677500191</v>
      </c>
      <c r="S31" s="43">
        <f t="shared" si="3"/>
        <v>3.1762447048475209</v>
      </c>
      <c r="T31" s="43">
        <f t="shared" si="3"/>
        <v>3.4621067282837981</v>
      </c>
      <c r="U31" s="43">
        <f t="shared" si="3"/>
        <v>3.7736963338293403</v>
      </c>
      <c r="V31" s="43">
        <f t="shared" si="3"/>
        <v>4.1133290038739814</v>
      </c>
      <c r="W31" s="43">
        <f t="shared" si="3"/>
        <v>4.4835286142226396</v>
      </c>
      <c r="X31" s="43">
        <f t="shared" si="3"/>
        <v>4.8870461895026773</v>
      </c>
      <c r="Y31" s="43">
        <f t="shared" si="3"/>
        <v>5.3268803465579184</v>
      </c>
      <c r="Z31" s="43">
        <f t="shared" si="3"/>
        <v>5.8062995777481312</v>
      </c>
      <c r="AA31" s="43">
        <f t="shared" si="3"/>
        <v>6.3288665397454631</v>
      </c>
    </row>
    <row r="32" spans="1:27" x14ac:dyDescent="0.25">
      <c r="A32" s="4" t="s">
        <v>33</v>
      </c>
      <c r="B32" s="6"/>
      <c r="C32" s="41">
        <f t="shared" ref="C32:AA32" si="4">IF(C28="","",C29*C31)</f>
        <v>5731.2000000000007</v>
      </c>
      <c r="D32" s="41">
        <f t="shared" si="4"/>
        <v>6184.5379200000007</v>
      </c>
      <c r="E32" s="41">
        <f t="shared" si="4"/>
        <v>6673.7348694720013</v>
      </c>
      <c r="F32" s="41">
        <f t="shared" si="4"/>
        <v>7201.6272976472364</v>
      </c>
      <c r="G32" s="41">
        <f t="shared" si="4"/>
        <v>7771.2760168911318</v>
      </c>
      <c r="H32" s="41">
        <f t="shared" si="4"/>
        <v>8385.9839498272213</v>
      </c>
      <c r="I32" s="41">
        <f t="shared" si="4"/>
        <v>9049.3152802585555</v>
      </c>
      <c r="J32" s="41">
        <f t="shared" si="4"/>
        <v>9765.1161189270078</v>
      </c>
      <c r="K32" s="41">
        <f t="shared" si="4"/>
        <v>10537.536803934136</v>
      </c>
      <c r="L32" s="41">
        <f t="shared" si="4"/>
        <v>11371.055965125326</v>
      </c>
      <c r="M32" s="41">
        <f t="shared" si="4"/>
        <v>12270.506491966742</v>
      </c>
      <c r="N32" s="41">
        <f t="shared" si="4"/>
        <v>13241.10355548131</v>
      </c>
      <c r="O32" s="41">
        <f t="shared" si="4"/>
        <v>14288.474846719882</v>
      </c>
      <c r="P32" s="41">
        <f t="shared" si="4"/>
        <v>15418.693207095424</v>
      </c>
      <c r="Q32" s="41">
        <f t="shared" si="4"/>
        <v>16638.311839776674</v>
      </c>
      <c r="R32" s="41">
        <f t="shared" si="4"/>
        <v>17954.402306303007</v>
      </c>
      <c r="S32" s="41">
        <f t="shared" si="4"/>
        <v>19374.595528731574</v>
      </c>
      <c r="T32" s="41">
        <f t="shared" si="4"/>
        <v>20907.126035054243</v>
      </c>
      <c r="U32" s="41">
        <f t="shared" si="4"/>
        <v>22560.87970442704</v>
      </c>
      <c r="V32" s="41">
        <f t="shared" si="4"/>
        <v>24345.445289047217</v>
      </c>
      <c r="W32" s="41">
        <f t="shared" si="4"/>
        <v>26271.17001141085</v>
      </c>
      <c r="X32" s="41">
        <f t="shared" si="4"/>
        <v>28349.219559313449</v>
      </c>
      <c r="Y32" s="41">
        <f t="shared" si="4"/>
        <v>30591.642826455143</v>
      </c>
      <c r="Z32" s="41">
        <f t="shared" si="4"/>
        <v>33011.441774027742</v>
      </c>
      <c r="AA32" s="41">
        <f t="shared" si="4"/>
        <v>35622.646818353336</v>
      </c>
    </row>
    <row r="33" spans="1:27" x14ac:dyDescent="0.25">
      <c r="A33" s="4" t="s">
        <v>34</v>
      </c>
      <c r="B33" s="6"/>
      <c r="C33" s="41">
        <f>-$B$19*$B$16</f>
        <v>-1125</v>
      </c>
      <c r="D33" s="41">
        <f t="shared" ref="D33:AA33" si="5">IF(D28="","",C33*(1+$B$17))</f>
        <v>-1181.25</v>
      </c>
      <c r="E33" s="41">
        <f t="shared" si="5"/>
        <v>-1240.3125</v>
      </c>
      <c r="F33" s="41">
        <f t="shared" si="5"/>
        <v>-1302.328125</v>
      </c>
      <c r="G33" s="41">
        <f t="shared" si="5"/>
        <v>-1367.44453125</v>
      </c>
      <c r="H33" s="41">
        <f t="shared" si="5"/>
        <v>-1435.8167578125001</v>
      </c>
      <c r="I33" s="41">
        <f t="shared" si="5"/>
        <v>-1507.6075957031251</v>
      </c>
      <c r="J33" s="41">
        <f t="shared" si="5"/>
        <v>-1582.9879754882813</v>
      </c>
      <c r="K33" s="41">
        <f t="shared" si="5"/>
        <v>-1662.1373742626954</v>
      </c>
      <c r="L33" s="41">
        <f t="shared" si="5"/>
        <v>-1745.2442429758303</v>
      </c>
      <c r="M33" s="41">
        <f t="shared" si="5"/>
        <v>-1832.5064551246219</v>
      </c>
      <c r="N33" s="41">
        <f t="shared" si="5"/>
        <v>-1924.131777880853</v>
      </c>
      <c r="O33" s="41">
        <f t="shared" si="5"/>
        <v>-2020.3383667748956</v>
      </c>
      <c r="P33" s="41">
        <f t="shared" si="5"/>
        <v>-2121.3552851136405</v>
      </c>
      <c r="Q33" s="41">
        <f t="shared" si="5"/>
        <v>-2227.4230493693226</v>
      </c>
      <c r="R33" s="41">
        <f t="shared" si="5"/>
        <v>-2338.7942018377889</v>
      </c>
      <c r="S33" s="41">
        <f t="shared" si="5"/>
        <v>-2455.7339119296785</v>
      </c>
      <c r="T33" s="41">
        <f t="shared" si="5"/>
        <v>-2578.5206075261626</v>
      </c>
      <c r="U33" s="41">
        <f t="shared" si="5"/>
        <v>-2707.4466379024707</v>
      </c>
      <c r="V33" s="41">
        <f t="shared" si="5"/>
        <v>-2842.8189697975945</v>
      </c>
      <c r="W33" s="41">
        <f t="shared" si="5"/>
        <v>-2984.9599182874745</v>
      </c>
      <c r="X33" s="41">
        <f t="shared" si="5"/>
        <v>-3134.2079142018483</v>
      </c>
      <c r="Y33" s="41">
        <f t="shared" si="5"/>
        <v>-3290.9183099119409</v>
      </c>
      <c r="Z33" s="41">
        <f t="shared" si="5"/>
        <v>-3455.4642254075379</v>
      </c>
      <c r="AA33" s="41">
        <f t="shared" si="5"/>
        <v>-3628.237436677915</v>
      </c>
    </row>
    <row r="34" spans="1:27" x14ac:dyDescent="0.25">
      <c r="A34" s="4"/>
      <c r="B34" s="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x14ac:dyDescent="0.25">
      <c r="A35" s="4" t="s">
        <v>35</v>
      </c>
      <c r="B35" s="6"/>
      <c r="C35" s="41">
        <f t="shared" ref="C35:AA35" si="6">IF(C28="","",SUM(C32:C33))</f>
        <v>4606.2000000000007</v>
      </c>
      <c r="D35" s="41">
        <f t="shared" si="6"/>
        <v>5003.2879200000007</v>
      </c>
      <c r="E35" s="41">
        <f t="shared" si="6"/>
        <v>5433.4223694720013</v>
      </c>
      <c r="F35" s="41">
        <f t="shared" si="6"/>
        <v>5899.2991726472364</v>
      </c>
      <c r="G35" s="41">
        <f t="shared" si="6"/>
        <v>6403.8314856411316</v>
      </c>
      <c r="H35" s="41">
        <f t="shared" si="6"/>
        <v>6950.167192014721</v>
      </c>
      <c r="I35" s="41">
        <f t="shared" si="6"/>
        <v>7541.7076845554302</v>
      </c>
      <c r="J35" s="41">
        <f t="shared" si="6"/>
        <v>8182.1281434387265</v>
      </c>
      <c r="K35" s="41">
        <f t="shared" si="6"/>
        <v>8875.3994296714409</v>
      </c>
      <c r="L35" s="41">
        <f t="shared" si="6"/>
        <v>9625.8117221494958</v>
      </c>
      <c r="M35" s="41">
        <f t="shared" si="6"/>
        <v>10438.000036842121</v>
      </c>
      <c r="N35" s="41">
        <f t="shared" si="6"/>
        <v>11316.971777600456</v>
      </c>
      <c r="O35" s="41">
        <f t="shared" si="6"/>
        <v>12268.136479944988</v>
      </c>
      <c r="P35" s="41">
        <f t="shared" si="6"/>
        <v>13297.337921981783</v>
      </c>
      <c r="Q35" s="41">
        <f t="shared" si="6"/>
        <v>14410.888790407351</v>
      </c>
      <c r="R35" s="41">
        <f t="shared" si="6"/>
        <v>15615.608104465218</v>
      </c>
      <c r="S35" s="41">
        <f t="shared" si="6"/>
        <v>16918.861616801896</v>
      </c>
      <c r="T35" s="41">
        <f t="shared" si="6"/>
        <v>18328.60542752808</v>
      </c>
      <c r="U35" s="41">
        <f t="shared" si="6"/>
        <v>19853.433066524569</v>
      </c>
      <c r="V35" s="41">
        <f t="shared" si="6"/>
        <v>21502.626319249623</v>
      </c>
      <c r="W35" s="41">
        <f t="shared" si="6"/>
        <v>23286.210093123376</v>
      </c>
      <c r="X35" s="41">
        <f t="shared" si="6"/>
        <v>25215.011645111601</v>
      </c>
      <c r="Y35" s="41">
        <f t="shared" si="6"/>
        <v>27300.724516543203</v>
      </c>
      <c r="Z35" s="41">
        <f t="shared" si="6"/>
        <v>29555.977548620205</v>
      </c>
      <c r="AA35" s="41">
        <f t="shared" si="6"/>
        <v>31994.409381675421</v>
      </c>
    </row>
    <row r="36" spans="1:27" x14ac:dyDescent="0.25">
      <c r="A36" s="4" t="s">
        <v>36</v>
      </c>
      <c r="B36" s="44">
        <f>-B19</f>
        <v>-37500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4" t="s">
        <v>37</v>
      </c>
      <c r="B37" s="41">
        <f t="shared" ref="B37:AA37" si="7">IF(B28="","",SUM(B35:B36))</f>
        <v>-37500</v>
      </c>
      <c r="C37" s="41">
        <f t="shared" si="7"/>
        <v>4606.2000000000007</v>
      </c>
      <c r="D37" s="41">
        <f t="shared" si="7"/>
        <v>5003.2879200000007</v>
      </c>
      <c r="E37" s="41">
        <f t="shared" si="7"/>
        <v>5433.4223694720013</v>
      </c>
      <c r="F37" s="41">
        <f t="shared" si="7"/>
        <v>5899.2991726472364</v>
      </c>
      <c r="G37" s="41">
        <f t="shared" si="7"/>
        <v>6403.8314856411316</v>
      </c>
      <c r="H37" s="41">
        <f t="shared" si="7"/>
        <v>6950.167192014721</v>
      </c>
      <c r="I37" s="41">
        <f t="shared" si="7"/>
        <v>7541.7076845554302</v>
      </c>
      <c r="J37" s="41">
        <f t="shared" si="7"/>
        <v>8182.1281434387265</v>
      </c>
      <c r="K37" s="41">
        <f t="shared" si="7"/>
        <v>8875.3994296714409</v>
      </c>
      <c r="L37" s="41">
        <f t="shared" si="7"/>
        <v>9625.8117221494958</v>
      </c>
      <c r="M37" s="41">
        <f t="shared" si="7"/>
        <v>10438.000036842121</v>
      </c>
      <c r="N37" s="41">
        <f t="shared" si="7"/>
        <v>11316.971777600456</v>
      </c>
      <c r="O37" s="41">
        <f t="shared" si="7"/>
        <v>12268.136479944988</v>
      </c>
      <c r="P37" s="41">
        <f t="shared" si="7"/>
        <v>13297.337921981783</v>
      </c>
      <c r="Q37" s="41">
        <f t="shared" si="7"/>
        <v>14410.888790407351</v>
      </c>
      <c r="R37" s="41">
        <f t="shared" si="7"/>
        <v>15615.608104465218</v>
      </c>
      <c r="S37" s="41">
        <f t="shared" si="7"/>
        <v>16918.861616801896</v>
      </c>
      <c r="T37" s="41">
        <f t="shared" si="7"/>
        <v>18328.60542752808</v>
      </c>
      <c r="U37" s="41">
        <f t="shared" si="7"/>
        <v>19853.433066524569</v>
      </c>
      <c r="V37" s="41">
        <f t="shared" si="7"/>
        <v>21502.626319249623</v>
      </c>
      <c r="W37" s="41">
        <f t="shared" si="7"/>
        <v>23286.210093123376</v>
      </c>
      <c r="X37" s="41">
        <f t="shared" si="7"/>
        <v>25215.011645111601</v>
      </c>
      <c r="Y37" s="41">
        <f t="shared" si="7"/>
        <v>27300.724516543203</v>
      </c>
      <c r="Z37" s="41">
        <f t="shared" si="7"/>
        <v>29555.977548620205</v>
      </c>
      <c r="AA37" s="41">
        <f t="shared" si="7"/>
        <v>31994.409381675421</v>
      </c>
    </row>
    <row r="38" spans="1:27" ht="15.75" thickBot="1" x14ac:dyDescent="0.3">
      <c r="A38" s="29" t="s">
        <v>38</v>
      </c>
      <c r="B38" s="45">
        <f>B37</f>
        <v>-37500</v>
      </c>
      <c r="C38" s="45">
        <f t="shared" ref="C38:AA38" si="8">IF(C28="","",B38+C37)</f>
        <v>-32893.800000000003</v>
      </c>
      <c r="D38" s="45">
        <f t="shared" si="8"/>
        <v>-27890.51208</v>
      </c>
      <c r="E38" s="45">
        <f t="shared" si="8"/>
        <v>-22457.089710527998</v>
      </c>
      <c r="F38" s="45">
        <f t="shared" si="8"/>
        <v>-16557.790537880763</v>
      </c>
      <c r="G38" s="45">
        <f t="shared" si="8"/>
        <v>-10153.959052239632</v>
      </c>
      <c r="H38" s="45">
        <f t="shared" si="8"/>
        <v>-3203.791860224911</v>
      </c>
      <c r="I38" s="45">
        <f t="shared" si="8"/>
        <v>4337.9158243305192</v>
      </c>
      <c r="J38" s="45">
        <f t="shared" si="8"/>
        <v>12520.043967769245</v>
      </c>
      <c r="K38" s="45">
        <f t="shared" si="8"/>
        <v>21395.443397440686</v>
      </c>
      <c r="L38" s="45">
        <f t="shared" si="8"/>
        <v>31021.255119590183</v>
      </c>
      <c r="M38" s="45">
        <f t="shared" si="8"/>
        <v>41459.255156432308</v>
      </c>
      <c r="N38" s="45">
        <f t="shared" si="8"/>
        <v>52776.226934032762</v>
      </c>
      <c r="O38" s="45">
        <f t="shared" si="8"/>
        <v>65044.36341397775</v>
      </c>
      <c r="P38" s="45">
        <f t="shared" si="8"/>
        <v>78341.701335959529</v>
      </c>
      <c r="Q38" s="45">
        <f t="shared" si="8"/>
        <v>92752.590126366878</v>
      </c>
      <c r="R38" s="45">
        <f t="shared" si="8"/>
        <v>108368.1982308321</v>
      </c>
      <c r="S38" s="45">
        <f t="shared" si="8"/>
        <v>125287.05984763399</v>
      </c>
      <c r="T38" s="45">
        <f t="shared" si="8"/>
        <v>143615.66527516209</v>
      </c>
      <c r="U38" s="45">
        <f t="shared" si="8"/>
        <v>163469.09834168665</v>
      </c>
      <c r="V38" s="45">
        <f t="shared" si="8"/>
        <v>184971.72466093628</v>
      </c>
      <c r="W38" s="45">
        <f t="shared" si="8"/>
        <v>208257.93475405965</v>
      </c>
      <c r="X38" s="45">
        <f t="shared" si="8"/>
        <v>233472.94639917125</v>
      </c>
      <c r="Y38" s="45">
        <f t="shared" si="8"/>
        <v>260773.67091571447</v>
      </c>
      <c r="Z38" s="45">
        <f t="shared" si="8"/>
        <v>290329.64846433466</v>
      </c>
      <c r="AA38" s="45">
        <f t="shared" si="8"/>
        <v>322324.05784601008</v>
      </c>
    </row>
    <row r="39" spans="1:27" x14ac:dyDescent="0.25">
      <c r="B39"/>
    </row>
    <row r="40" spans="1:27" s="82" customFormat="1" ht="12.75" x14ac:dyDescent="0.2">
      <c r="A40" s="82" t="s">
        <v>60</v>
      </c>
      <c r="C40" s="83">
        <f>IF(AND(A38&gt;=0,C38&gt;=0),0,IF(AND(C38&gt;=0,A38&lt;0),1-C38/(C38-A38),1))</f>
        <v>1</v>
      </c>
      <c r="D40" s="83">
        <f>IF(AND(C38&gt;=0,D38&gt;=0),0,IF(AND(D38&gt;=0,C38&lt;0),1-D38/(D38-C38),1))</f>
        <v>1</v>
      </c>
      <c r="E40" s="83">
        <f t="shared" ref="E40:AA40" si="9">IF(AND(D38&gt;=0,E38&gt;=0),0,IF(AND(E38&gt;=0,D38&lt;0),1-E38/(E38-D38),1))</f>
        <v>1</v>
      </c>
      <c r="F40" s="83">
        <f t="shared" si="9"/>
        <v>1</v>
      </c>
      <c r="G40" s="83">
        <f t="shared" si="9"/>
        <v>1</v>
      </c>
      <c r="H40" s="83">
        <f t="shared" si="9"/>
        <v>1</v>
      </c>
      <c r="I40" s="83">
        <f t="shared" si="9"/>
        <v>0.42480986989006708</v>
      </c>
      <c r="J40" s="83">
        <f t="shared" si="9"/>
        <v>0</v>
      </c>
      <c r="K40" s="83">
        <f t="shared" si="9"/>
        <v>0</v>
      </c>
      <c r="L40" s="83">
        <f t="shared" si="9"/>
        <v>0</v>
      </c>
      <c r="M40" s="83">
        <f t="shared" si="9"/>
        <v>0</v>
      </c>
      <c r="N40" s="83">
        <f t="shared" si="9"/>
        <v>0</v>
      </c>
      <c r="O40" s="83">
        <f t="shared" si="9"/>
        <v>0</v>
      </c>
      <c r="P40" s="83">
        <f t="shared" si="9"/>
        <v>0</v>
      </c>
      <c r="Q40" s="83">
        <f t="shared" si="9"/>
        <v>0</v>
      </c>
      <c r="R40" s="83">
        <f t="shared" si="9"/>
        <v>0</v>
      </c>
      <c r="S40" s="83">
        <f t="shared" si="9"/>
        <v>0</v>
      </c>
      <c r="T40" s="83">
        <f t="shared" si="9"/>
        <v>0</v>
      </c>
      <c r="U40" s="83">
        <f t="shared" si="9"/>
        <v>0</v>
      </c>
      <c r="V40" s="83">
        <f t="shared" si="9"/>
        <v>0</v>
      </c>
      <c r="W40" s="83">
        <f>IF(AND(V38&gt;=0,W38&gt;=0),0,IF(AND(W38&gt;=0,V38&lt;0),1-W38/(W38-V38),1))</f>
        <v>0</v>
      </c>
      <c r="X40" s="83">
        <f t="shared" si="9"/>
        <v>0</v>
      </c>
      <c r="Y40" s="83">
        <f t="shared" si="9"/>
        <v>0</v>
      </c>
      <c r="Z40" s="83">
        <f t="shared" si="9"/>
        <v>0</v>
      </c>
      <c r="AA40" s="83">
        <f t="shared" si="9"/>
        <v>0</v>
      </c>
    </row>
  </sheetData>
  <pageMargins left="0.51181102362204722" right="0.51181102362204722" top="0.78740157480314965" bottom="0.78740157480314965" header="0.31496062992125984" footer="0.31496062992125984"/>
  <pageSetup paperSize="9" scale="82" orientation="landscape" horizontalDpi="0" verticalDpi="0" r:id="rId1"/>
  <headerFooter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Introdução</vt:lpstr>
      <vt:lpstr>Ex 4 dimensionar</vt:lpstr>
      <vt:lpstr>Ex 4 financeiro</vt:lpstr>
      <vt:lpstr>'Ex 4 dimensionar'!Area_de_impressao</vt:lpstr>
      <vt:lpstr>'Ex 4 financeiro'!Area_de_impressao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Rauschmayer</dc:creator>
  <cp:lastModifiedBy>Hans</cp:lastModifiedBy>
  <cp:lastPrinted>2017-03-23T13:45:41Z</cp:lastPrinted>
  <dcterms:created xsi:type="dcterms:W3CDTF">2014-05-03T14:19:01Z</dcterms:created>
  <dcterms:modified xsi:type="dcterms:W3CDTF">2017-07-09T12:30:03Z</dcterms:modified>
</cp:coreProperties>
</file>