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 tabRatio="752" activeTab="1"/>
  </bookViews>
  <sheets>
    <sheet name="Dimensionar" sheetId="60" r:id="rId1"/>
    <sheet name="Fluxo de caixa" sheetId="61" r:id="rId2"/>
  </sheets>
  <definedNames>
    <definedName name="_xlnm.Print_Area" localSheetId="0">Dimensionar!$A$1:$L$38</definedName>
    <definedName name="_xlnm.Print_Area" localSheetId="1">'Fluxo de caixa'!$A$1:$M$38</definedName>
  </definedNames>
  <calcPr calcId="145621" iterate="1" iterateCount="300" iterateDelta="1E-4"/>
</workbook>
</file>

<file path=xl/calcChain.xml><?xml version="1.0" encoding="utf-8"?>
<calcChain xmlns="http://schemas.openxmlformats.org/spreadsheetml/2006/main">
  <c r="B9" i="61" l="1"/>
  <c r="D25" i="60"/>
  <c r="D24" i="60"/>
  <c r="D23" i="60"/>
  <c r="D22" i="60"/>
  <c r="D21" i="60"/>
  <c r="D20" i="60"/>
  <c r="D19" i="60"/>
  <c r="D18" i="60"/>
  <c r="D17" i="60"/>
  <c r="D16" i="60"/>
  <c r="D15" i="60"/>
  <c r="D14" i="60"/>
  <c r="B18" i="61"/>
  <c r="AA30" i="61" s="1"/>
  <c r="L30" i="61" l="1"/>
  <c r="D30" i="61"/>
  <c r="H30" i="61"/>
  <c r="P30" i="61"/>
  <c r="T30" i="61"/>
  <c r="X30" i="61"/>
  <c r="E30" i="61"/>
  <c r="I30" i="61"/>
  <c r="M30" i="61"/>
  <c r="Q30" i="61"/>
  <c r="U30" i="61"/>
  <c r="Y30" i="61"/>
  <c r="F30" i="61"/>
  <c r="J30" i="61"/>
  <c r="N30" i="61"/>
  <c r="R30" i="61"/>
  <c r="V30" i="61"/>
  <c r="Z30" i="61"/>
  <c r="G30" i="61"/>
  <c r="K30" i="61"/>
  <c r="O30" i="61"/>
  <c r="S30" i="61"/>
  <c r="W30" i="61"/>
  <c r="B15" i="61" l="1"/>
  <c r="B17" i="61"/>
  <c r="B16" i="61"/>
  <c r="B14" i="61"/>
  <c r="B11" i="61"/>
  <c r="B6" i="61"/>
  <c r="B4" i="61"/>
  <c r="E14" i="60"/>
  <c r="C27" i="60"/>
  <c r="B27" i="60"/>
  <c r="B26" i="60"/>
  <c r="G14" i="60" l="1"/>
  <c r="F14" i="60"/>
  <c r="D27" i="60"/>
  <c r="E25" i="60"/>
  <c r="E21" i="60"/>
  <c r="E17" i="60"/>
  <c r="C31" i="61"/>
  <c r="A31" i="61"/>
  <c r="D28" i="61"/>
  <c r="B19" i="61"/>
  <c r="G30" i="60" s="1"/>
  <c r="D26" i="60"/>
  <c r="B30" i="60" s="1"/>
  <c r="C26" i="60"/>
  <c r="E24" i="60"/>
  <c r="E23" i="60"/>
  <c r="E22" i="60"/>
  <c r="E20" i="60"/>
  <c r="E19" i="60"/>
  <c r="E18" i="60"/>
  <c r="E16" i="60"/>
  <c r="E15" i="60"/>
  <c r="G18" i="60" l="1"/>
  <c r="F18" i="60"/>
  <c r="G23" i="60"/>
  <c r="F23" i="60"/>
  <c r="G19" i="60"/>
  <c r="F19" i="60"/>
  <c r="G24" i="60"/>
  <c r="F24" i="60"/>
  <c r="G21" i="60"/>
  <c r="F21" i="60"/>
  <c r="G15" i="60"/>
  <c r="F15" i="60"/>
  <c r="G20" i="60"/>
  <c r="F20" i="60"/>
  <c r="G25" i="60"/>
  <c r="F25" i="60"/>
  <c r="G16" i="60"/>
  <c r="F16" i="60"/>
  <c r="G22" i="60"/>
  <c r="F22" i="60"/>
  <c r="G17" i="60"/>
  <c r="F17" i="60"/>
  <c r="E27" i="60"/>
  <c r="E26" i="60"/>
  <c r="B36" i="61"/>
  <c r="B37" i="61" s="1"/>
  <c r="C33" i="61"/>
  <c r="E28" i="61"/>
  <c r="B5" i="61"/>
  <c r="D31" i="61"/>
  <c r="F26" i="60" l="1"/>
  <c r="F27" i="60"/>
  <c r="G26" i="60"/>
  <c r="B31" i="60" s="1"/>
  <c r="B32" i="60" s="1"/>
  <c r="B38" i="61"/>
  <c r="F28" i="61"/>
  <c r="E31" i="61"/>
  <c r="D33" i="61"/>
  <c r="F31" i="61" l="1"/>
  <c r="G28" i="61"/>
  <c r="E33" i="61"/>
  <c r="F33" i="61" s="1"/>
  <c r="B33" i="60" l="1"/>
  <c r="B10" i="61"/>
  <c r="G33" i="61"/>
  <c r="H28" i="61"/>
  <c r="G31" i="61"/>
  <c r="B22" i="61" l="1"/>
  <c r="C29" i="61"/>
  <c r="H33" i="61"/>
  <c r="I28" i="61"/>
  <c r="H31" i="61"/>
  <c r="D29" i="61" l="1"/>
  <c r="C32" i="61"/>
  <c r="C35" i="61" s="1"/>
  <c r="I31" i="61"/>
  <c r="I33" i="61"/>
  <c r="J28" i="61"/>
  <c r="B23" i="61" l="1"/>
  <c r="C37" i="61"/>
  <c r="C38" i="61" s="1"/>
  <c r="E29" i="61"/>
  <c r="D32" i="61"/>
  <c r="D35" i="61" s="1"/>
  <c r="D37" i="61" s="1"/>
  <c r="J31" i="61"/>
  <c r="J33" i="61"/>
  <c r="K28" i="61"/>
  <c r="F29" i="61" l="1"/>
  <c r="E32" i="61"/>
  <c r="E35" i="61" s="1"/>
  <c r="E37" i="61" s="1"/>
  <c r="C40" i="61"/>
  <c r="D38" i="61"/>
  <c r="K31" i="61"/>
  <c r="K33" i="61"/>
  <c r="L28" i="61"/>
  <c r="D40" i="61" l="1"/>
  <c r="E38" i="61"/>
  <c r="G29" i="61"/>
  <c r="F32" i="61"/>
  <c r="F35" i="61" s="1"/>
  <c r="F37" i="61" s="1"/>
  <c r="L33" i="61"/>
  <c r="M28" i="61"/>
  <c r="L31" i="61"/>
  <c r="E40" i="61" l="1"/>
  <c r="F38" i="61"/>
  <c r="H29" i="61"/>
  <c r="G32" i="61"/>
  <c r="G35" i="61" s="1"/>
  <c r="G37" i="61" s="1"/>
  <c r="M33" i="61"/>
  <c r="N28" i="61"/>
  <c r="M31" i="61"/>
  <c r="I29" i="61" l="1"/>
  <c r="H32" i="61"/>
  <c r="H35" i="61" s="1"/>
  <c r="H37" i="61" s="1"/>
  <c r="F40" i="61"/>
  <c r="G38" i="61"/>
  <c r="N31" i="61"/>
  <c r="N33" i="61"/>
  <c r="O28" i="61"/>
  <c r="G40" i="61" l="1"/>
  <c r="H38" i="61"/>
  <c r="J29" i="61"/>
  <c r="I32" i="61"/>
  <c r="I35" i="61" s="1"/>
  <c r="I37" i="61" s="1"/>
  <c r="O31" i="61"/>
  <c r="O33" i="61"/>
  <c r="P28" i="61"/>
  <c r="K29" i="61" l="1"/>
  <c r="J32" i="61"/>
  <c r="J35" i="61" s="1"/>
  <c r="J37" i="61" s="1"/>
  <c r="H40" i="61"/>
  <c r="I38" i="61"/>
  <c r="P33" i="61"/>
  <c r="Q28" i="61"/>
  <c r="P31" i="61"/>
  <c r="I40" i="61" l="1"/>
  <c r="J38" i="61"/>
  <c r="L29" i="61"/>
  <c r="K32" i="61"/>
  <c r="K35" i="61" s="1"/>
  <c r="K37" i="61" s="1"/>
  <c r="Q33" i="61"/>
  <c r="R28" i="61"/>
  <c r="Q31" i="61"/>
  <c r="M29" i="61" l="1"/>
  <c r="L32" i="61"/>
  <c r="L35" i="61" s="1"/>
  <c r="L37" i="61" s="1"/>
  <c r="J40" i="61"/>
  <c r="K38" i="61"/>
  <c r="R31" i="61"/>
  <c r="R33" i="61"/>
  <c r="S28" i="61"/>
  <c r="K40" i="61" l="1"/>
  <c r="L38" i="61"/>
  <c r="N29" i="61"/>
  <c r="M32" i="61"/>
  <c r="M35" i="61" s="1"/>
  <c r="M37" i="61" s="1"/>
  <c r="S33" i="61"/>
  <c r="T28" i="61"/>
  <c r="S31" i="61"/>
  <c r="O29" i="61" l="1"/>
  <c r="N32" i="61"/>
  <c r="N35" i="61" s="1"/>
  <c r="N37" i="61" s="1"/>
  <c r="L40" i="61"/>
  <c r="M38" i="61"/>
  <c r="T33" i="61"/>
  <c r="U28" i="61"/>
  <c r="T31" i="61"/>
  <c r="M40" i="61" l="1"/>
  <c r="N38" i="61"/>
  <c r="P29" i="61"/>
  <c r="O32" i="61"/>
  <c r="O35" i="61" s="1"/>
  <c r="O37" i="61" s="1"/>
  <c r="U33" i="61"/>
  <c r="U31" i="61"/>
  <c r="V28" i="61"/>
  <c r="Q29" i="61" l="1"/>
  <c r="P32" i="61"/>
  <c r="P35" i="61" s="1"/>
  <c r="P37" i="61" s="1"/>
  <c r="N40" i="61"/>
  <c r="O38" i="61"/>
  <c r="V31" i="61"/>
  <c r="V33" i="61"/>
  <c r="W28" i="61"/>
  <c r="O40" i="61" l="1"/>
  <c r="P38" i="61"/>
  <c r="R29" i="61"/>
  <c r="Q32" i="61"/>
  <c r="Q35" i="61" s="1"/>
  <c r="Q37" i="61" s="1"/>
  <c r="W33" i="61"/>
  <c r="X28" i="61"/>
  <c r="W31" i="61"/>
  <c r="S29" i="61" l="1"/>
  <c r="R32" i="61"/>
  <c r="R35" i="61" s="1"/>
  <c r="R37" i="61" s="1"/>
  <c r="P40" i="61"/>
  <c r="Q38" i="61"/>
  <c r="X33" i="61"/>
  <c r="Y28" i="61"/>
  <c r="X31" i="61"/>
  <c r="Q40" i="61" l="1"/>
  <c r="R38" i="61"/>
  <c r="T29" i="61"/>
  <c r="S32" i="61"/>
  <c r="S35" i="61" s="1"/>
  <c r="S37" i="61" s="1"/>
  <c r="Y31" i="61"/>
  <c r="Y33" i="61"/>
  <c r="Z28" i="61"/>
  <c r="U29" i="61" l="1"/>
  <c r="T32" i="61"/>
  <c r="T35" i="61" s="1"/>
  <c r="T37" i="61" s="1"/>
  <c r="R40" i="61"/>
  <c r="S38" i="61"/>
  <c r="Z31" i="61"/>
  <c r="AA28" i="61"/>
  <c r="Z33" i="61"/>
  <c r="S40" i="61" l="1"/>
  <c r="T38" i="61"/>
  <c r="V29" i="61"/>
  <c r="U32" i="61"/>
  <c r="U35" i="61" s="1"/>
  <c r="U37" i="61" s="1"/>
  <c r="AA33" i="61"/>
  <c r="AA31" i="61"/>
  <c r="W29" i="61" l="1"/>
  <c r="V32" i="61"/>
  <c r="V35" i="61" s="1"/>
  <c r="V37" i="61" s="1"/>
  <c r="T40" i="61"/>
  <c r="U38" i="61"/>
  <c r="U40" i="61" l="1"/>
  <c r="V38" i="61"/>
  <c r="X29" i="61"/>
  <c r="W32" i="61"/>
  <c r="W35" i="61" s="1"/>
  <c r="W37" i="61" s="1"/>
  <c r="Y29" i="61" l="1"/>
  <c r="X32" i="61"/>
  <c r="X35" i="61" s="1"/>
  <c r="X37" i="61" s="1"/>
  <c r="V40" i="61"/>
  <c r="W38" i="61"/>
  <c r="W40" i="61" l="1"/>
  <c r="X38" i="61"/>
  <c r="Z29" i="61"/>
  <c r="Y32" i="61"/>
  <c r="Y35" i="61" s="1"/>
  <c r="Y37" i="61" s="1"/>
  <c r="AA29" i="61" l="1"/>
  <c r="AA32" i="61" s="1"/>
  <c r="AA35" i="61" s="1"/>
  <c r="AA37" i="61" s="1"/>
  <c r="Z32" i="61"/>
  <c r="Z35" i="61" s="1"/>
  <c r="Z37" i="61" s="1"/>
  <c r="X40" i="61"/>
  <c r="Y38" i="61"/>
  <c r="B25" i="61" l="1"/>
  <c r="G32" i="60" s="1"/>
  <c r="B26" i="61"/>
  <c r="Y40" i="61"/>
  <c r="Z38" i="61"/>
  <c r="Z40" i="61" l="1"/>
  <c r="AA38" i="61"/>
  <c r="AA40" i="61" s="1"/>
  <c r="B24" i="61" l="1"/>
  <c r="G31" i="60" s="1"/>
</calcChain>
</file>

<file path=xl/sharedStrings.xml><?xml version="1.0" encoding="utf-8"?>
<sst xmlns="http://schemas.openxmlformats.org/spreadsheetml/2006/main" count="83" uniqueCount="76">
  <si>
    <t>Valor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</si>
  <si>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</si>
  <si>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</si>
  <si>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</si>
  <si>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</si>
  <si>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</si>
  <si>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</si>
  <si>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</si>
  <si>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</si>
  <si>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</si>
  <si>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</si>
  <si>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</si>
  <si>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</si>
  <si>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</si>
  <si>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Cliente</t>
  </si>
  <si>
    <t>Local</t>
  </si>
  <si>
    <t>Consumo médio anual [kWh]</t>
  </si>
  <si>
    <t>Tarifa de energia [R$ / kWh]</t>
  </si>
  <si>
    <t>Sistema fotovoltaico</t>
  </si>
  <si>
    <t>Potência nominal [kWp]</t>
  </si>
  <si>
    <t>Parâmetros financeiros</t>
  </si>
  <si>
    <t>Prazo do projeto [anos]</t>
  </si>
  <si>
    <t>Investimento específico [R$ / kWp]</t>
  </si>
  <si>
    <t>Inflação anual [%]</t>
  </si>
  <si>
    <t>Investimento total [R$]</t>
  </si>
  <si>
    <t>Resultados</t>
  </si>
  <si>
    <t>% da geração em relação ao consumo</t>
  </si>
  <si>
    <t>Economia no primeiro ano [R$]</t>
  </si>
  <si>
    <t>Retorno do investimento [anos]</t>
  </si>
  <si>
    <t>Taxa interna de retorno TIR</t>
  </si>
  <si>
    <t>Valor presente líquido VPL [R$]</t>
  </si>
  <si>
    <t>Ano</t>
  </si>
  <si>
    <t>Aumento da tarifa [%]</t>
  </si>
  <si>
    <t>Economia [R$]</t>
  </si>
  <si>
    <t>Custo O &amp; M [R$]</t>
  </si>
  <si>
    <t>Fluxo de caixa operação [R$]</t>
  </si>
  <si>
    <t>Investimento [R$]</t>
  </si>
  <si>
    <t>Fluxo de caixa anual [R$]</t>
  </si>
  <si>
    <t>Fluxo de caixa acumulado [R$]</t>
  </si>
  <si>
    <t>Média mensal</t>
  </si>
  <si>
    <t>Prejuizo com CDD [kWh]</t>
  </si>
  <si>
    <t>Geração faturada</t>
  </si>
  <si>
    <t>Conta a pagar [kWh]</t>
  </si>
  <si>
    <t>Santos Dumont</t>
  </si>
  <si>
    <t>Custo Operação &amp; Manutenção [%]</t>
  </si>
  <si>
    <t>Geração anual [kWh]</t>
  </si>
  <si>
    <t>Resultados energéticos</t>
  </si>
  <si>
    <t>Geração anual</t>
  </si>
  <si>
    <t>Representa ..% do consumo</t>
  </si>
  <si>
    <t>Taxa interna de retorno</t>
  </si>
  <si>
    <t>- Prejuizos com CDD</t>
  </si>
  <si>
    <t>Degradação anual dos módulos</t>
  </si>
  <si>
    <t>PVWatts</t>
  </si>
  <si>
    <t>Tarifa da energia [R$ / kWh]</t>
  </si>
  <si>
    <t>Custo anual Operação e Manutenção [%]</t>
  </si>
  <si>
    <t>Resultados financeiros</t>
  </si>
  <si>
    <t>Cálculo retorno (linha de apóio ao cálculo)</t>
  </si>
  <si>
    <t>* Este gráfico não transporta créditos de um mês para meses subsequentes</t>
  </si>
  <si>
    <t>Fonte (informativo)</t>
  </si>
  <si>
    <t>Inclinação (informativo)</t>
  </si>
  <si>
    <t>Orientação (informativo)</t>
  </si>
  <si>
    <t>Dados climáticos (informativo)</t>
  </si>
  <si>
    <t>Parâmetros da simulação da geração</t>
  </si>
  <si>
    <t>Por isso, a "conta a pagar", na realidade, será menor em meses com crédito disponível</t>
  </si>
  <si>
    <t>Dimensionar potência do sistema a partir do consumo</t>
  </si>
  <si>
    <t>Consumo bruto [kWh]</t>
  </si>
  <si>
    <t>Consumo líquido [kWh]</t>
  </si>
  <si>
    <t>Geração simulada [kWh]</t>
  </si>
  <si>
    <t>Aumento anual da tarifa</t>
  </si>
  <si>
    <t>Aumento anual da tarifa [%]</t>
  </si>
  <si>
    <t>Potência simulada (informativo)  [kWp]</t>
  </si>
  <si>
    <t>Geração na potência [kWh]</t>
  </si>
  <si>
    <t>Potência do sistema proposto [kWp]</t>
  </si>
  <si>
    <t>Inflação anual O&amp;M [%]</t>
  </si>
  <si>
    <t>Custo de disponibilidade do cliente [kWh]</t>
  </si>
  <si>
    <t>Dimensionar -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</si>
</sst>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#,##0.0000"/>
    <numFmt numFmtId="167" formatCode="#,##0.0"/>
    <numFmt numFmtId="168" formatCode="0.0000"/>
    <numFmt numFmtId="169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2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4" xfId="0" applyFill="1" applyBorder="1"/>
    <xf numFmtId="0" fontId="4" fillId="3" borderId="1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top" wrapText="1"/>
    </xf>
    <xf numFmtId="0" fontId="0" fillId="0" borderId="0" xfId="0" applyFill="1" applyBorder="1"/>
    <xf numFmtId="0" fontId="2" fillId="4" borderId="8" xfId="0" applyFont="1" applyFill="1" applyBorder="1"/>
    <xf numFmtId="49" fontId="0" fillId="2" borderId="2" xfId="0" applyNumberForma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right" vertical="top" wrapText="1"/>
    </xf>
    <xf numFmtId="49" fontId="2" fillId="2" borderId="3" xfId="0" applyNumberFormat="1" applyFont="1" applyFill="1" applyBorder="1" applyAlignment="1">
      <alignment horizontal="right" vertical="top" wrapText="1"/>
    </xf>
    <xf numFmtId="14" fontId="0" fillId="2" borderId="7" xfId="0" applyNumberFormat="1" applyFill="1" applyBorder="1"/>
    <xf numFmtId="3" fontId="0" fillId="2" borderId="8" xfId="0" applyNumberFormat="1" applyFill="1" applyBorder="1"/>
    <xf numFmtId="0" fontId="0" fillId="2" borderId="32" xfId="0" applyFill="1" applyBorder="1"/>
    <xf numFmtId="3" fontId="0" fillId="2" borderId="34" xfId="0" applyNumberFormat="1" applyFill="1" applyBorder="1"/>
    <xf numFmtId="0" fontId="2" fillId="2" borderId="30" xfId="0" applyFont="1" applyFill="1" applyBorder="1"/>
    <xf numFmtId="3" fontId="2" fillId="2" borderId="35" xfId="0" applyNumberFormat="1" applyFont="1" applyFill="1" applyBorder="1"/>
    <xf numFmtId="3" fontId="2" fillId="2" borderId="31" xfId="0" applyNumberFormat="1" applyFont="1" applyFill="1" applyBorder="1"/>
    <xf numFmtId="0" fontId="3" fillId="5" borderId="2" xfId="0" applyFont="1" applyFill="1" applyBorder="1"/>
    <xf numFmtId="0" fontId="3" fillId="5" borderId="3" xfId="0" applyFont="1" applyFill="1" applyBorder="1" applyAlignment="1">
      <alignment horizontal="right"/>
    </xf>
    <xf numFmtId="0" fontId="0" fillId="2" borderId="7" xfId="0" applyFont="1" applyFill="1" applyBorder="1"/>
    <xf numFmtId="0" fontId="2" fillId="5" borderId="2" xfId="0" applyFont="1" applyFill="1" applyBorder="1"/>
    <xf numFmtId="0" fontId="0" fillId="5" borderId="3" xfId="0" applyFill="1" applyBorder="1" applyAlignment="1">
      <alignment horizontal="right"/>
    </xf>
    <xf numFmtId="0" fontId="2" fillId="2" borderId="4" xfId="0" applyFont="1" applyFill="1" applyBorder="1"/>
    <xf numFmtId="0" fontId="0" fillId="0" borderId="37" xfId="0" applyBorder="1"/>
    <xf numFmtId="2" fontId="0" fillId="0" borderId="37" xfId="0" applyNumberFormat="1" applyFill="1" applyBorder="1" applyAlignment="1">
      <alignment horizontal="right"/>
    </xf>
    <xf numFmtId="0" fontId="0" fillId="6" borderId="38" xfId="0" applyFont="1" applyFill="1" applyBorder="1"/>
    <xf numFmtId="9" fontId="0" fillId="6" borderId="39" xfId="1" applyFont="1" applyFill="1" applyBorder="1" applyAlignment="1">
      <alignment horizontal="right"/>
    </xf>
    <xf numFmtId="0" fontId="0" fillId="6" borderId="7" xfId="0" applyFill="1" applyBorder="1"/>
    <xf numFmtId="164" fontId="0" fillId="6" borderId="39" xfId="0" applyNumberFormat="1" applyFill="1" applyBorder="1" applyAlignment="1">
      <alignment horizontal="right"/>
    </xf>
    <xf numFmtId="165" fontId="0" fillId="6" borderId="8" xfId="0" applyNumberFormat="1" applyFill="1" applyBorder="1" applyAlignment="1">
      <alignment horizontal="right"/>
    </xf>
    <xf numFmtId="0" fontId="0" fillId="6" borderId="4" xfId="0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2" fillId="2" borderId="6" xfId="0" applyFont="1" applyFill="1" applyBorder="1"/>
    <xf numFmtId="3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3" fontId="0" fillId="2" borderId="14" xfId="0" applyNumberFormat="1" applyFill="1" applyBorder="1"/>
    <xf numFmtId="3" fontId="2" fillId="2" borderId="9" xfId="0" applyNumberFormat="1" applyFont="1" applyFill="1" applyBorder="1"/>
    <xf numFmtId="3" fontId="2" fillId="4" borderId="1" xfId="0" applyNumberFormat="1" applyFont="1" applyFill="1" applyBorder="1"/>
    <xf numFmtId="3" fontId="2" fillId="4" borderId="33" xfId="0" applyNumberFormat="1" applyFont="1" applyFill="1" applyBorder="1"/>
    <xf numFmtId="3" fontId="0" fillId="2" borderId="8" xfId="0" applyNumberForma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 vertical="top" wrapText="1"/>
    </xf>
    <xf numFmtId="3" fontId="0" fillId="2" borderId="7" xfId="0" applyNumberFormat="1" applyFill="1" applyBorder="1"/>
    <xf numFmtId="3" fontId="2" fillId="2" borderId="30" xfId="0" applyNumberFormat="1" applyFont="1" applyFill="1" applyBorder="1"/>
    <xf numFmtId="3" fontId="2" fillId="2" borderId="42" xfId="0" applyNumberFormat="1" applyFont="1" applyFill="1" applyBorder="1"/>
    <xf numFmtId="3" fontId="2" fillId="2" borderId="43" xfId="0" applyNumberFormat="1" applyFont="1" applyFill="1" applyBorder="1"/>
    <xf numFmtId="0" fontId="0" fillId="2" borderId="26" xfId="0" applyFont="1" applyFill="1" applyBorder="1"/>
    <xf numFmtId="3" fontId="0" fillId="2" borderId="41" xfId="0" applyNumberFormat="1" applyFont="1" applyFill="1" applyBorder="1"/>
    <xf numFmtId="3" fontId="0" fillId="2" borderId="27" xfId="0" applyNumberFormat="1" applyFont="1" applyFill="1" applyBorder="1"/>
    <xf numFmtId="3" fontId="2" fillId="4" borderId="7" xfId="0" applyNumberFormat="1" applyFont="1" applyFill="1" applyBorder="1"/>
    <xf numFmtId="3" fontId="2" fillId="4" borderId="32" xfId="0" applyNumberFormat="1" applyFont="1" applyFill="1" applyBorder="1"/>
    <xf numFmtId="3" fontId="0" fillId="2" borderId="26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6" borderId="39" xfId="0" applyNumberFormat="1" applyFill="1" applyBorder="1" applyAlignment="1">
      <alignment horizontal="right"/>
    </xf>
    <xf numFmtId="3" fontId="0" fillId="6" borderId="31" xfId="0" applyNumberFormat="1" applyFill="1" applyBorder="1" applyAlignment="1">
      <alignment horizontal="right"/>
    </xf>
    <xf numFmtId="49" fontId="0" fillId="0" borderId="0" xfId="0" applyNumberFormat="1" applyAlignment="1">
      <alignment vertical="center" wrapText="1"/>
    </xf>
    <xf numFmtId="10" fontId="2" fillId="4" borderId="5" xfId="0" applyNumberFormat="1" applyFont="1" applyFill="1" applyBorder="1"/>
    <xf numFmtId="0" fontId="3" fillId="5" borderId="16" xfId="0" applyFont="1" applyFill="1" applyBorder="1"/>
    <xf numFmtId="0" fontId="3" fillId="5" borderId="20" xfId="0" applyFont="1" applyFill="1" applyBorder="1"/>
    <xf numFmtId="168" fontId="2" fillId="4" borderId="8" xfId="0" applyNumberFormat="1" applyFont="1" applyFill="1" applyBorder="1"/>
    <xf numFmtId="10" fontId="2" fillId="4" borderId="8" xfId="0" applyNumberFormat="1" applyFont="1" applyFill="1" applyBorder="1"/>
    <xf numFmtId="3" fontId="2" fillId="4" borderId="8" xfId="0" applyNumberFormat="1" applyFont="1" applyFill="1" applyBorder="1"/>
    <xf numFmtId="0" fontId="0" fillId="2" borderId="8" xfId="0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9" fontId="0" fillId="2" borderId="8" xfId="0" applyNumberFormat="1" applyFont="1" applyFill="1" applyBorder="1" applyAlignment="1">
      <alignment horizontal="right"/>
    </xf>
    <xf numFmtId="10" fontId="0" fillId="2" borderId="8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0" fontId="0" fillId="2" borderId="5" xfId="0" applyNumberFormat="1" applyFont="1" applyFill="1" applyBorder="1" applyAlignment="1">
      <alignment horizontal="right"/>
    </xf>
    <xf numFmtId="167" fontId="0" fillId="2" borderId="8" xfId="0" applyNumberFormat="1" applyFill="1" applyBorder="1" applyAlignment="1">
      <alignment horizontal="right"/>
    </xf>
    <xf numFmtId="49" fontId="0" fillId="2" borderId="8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/>
    <xf numFmtId="169" fontId="0" fillId="2" borderId="27" xfId="0" applyNumberFormat="1" applyFont="1" applyFill="1" applyBorder="1"/>
    <xf numFmtId="49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vertical="top" wrapText="1"/>
    </xf>
    <xf numFmtId="0" fontId="3" fillId="5" borderId="25" xfId="0" applyFont="1" applyFill="1" applyBorder="1"/>
    <xf numFmtId="49" fontId="2" fillId="4" borderId="39" xfId="0" applyNumberFormat="1" applyFont="1" applyFill="1" applyBorder="1" applyAlignment="1">
      <alignment horizontal="right" vertical="top" wrapText="1"/>
    </xf>
    <xf numFmtId="49" fontId="0" fillId="2" borderId="7" xfId="0" applyNumberFormat="1" applyFill="1" applyBorder="1" applyAlignment="1">
      <alignment vertical="top" wrapText="1"/>
    </xf>
    <xf numFmtId="49" fontId="2" fillId="4" borderId="8" xfId="0" applyNumberFormat="1" applyFont="1" applyFill="1" applyBorder="1" applyAlignment="1">
      <alignment horizontal="right" vertical="top" wrapText="1"/>
    </xf>
    <xf numFmtId="0" fontId="2" fillId="4" borderId="8" xfId="0" applyNumberFormat="1" applyFont="1" applyFill="1" applyBorder="1" applyAlignment="1">
      <alignment horizontal="right" vertical="top" wrapText="1"/>
    </xf>
    <xf numFmtId="49" fontId="0" fillId="2" borderId="4" xfId="0" applyNumberFormat="1" applyFill="1" applyBorder="1" applyAlignment="1">
      <alignment vertical="center" wrapText="1"/>
    </xf>
    <xf numFmtId="164" fontId="2" fillId="4" borderId="5" xfId="0" applyNumberFormat="1" applyFont="1" applyFill="1" applyBorder="1" applyAlignment="1">
      <alignment horizontal="right" vertical="top" wrapText="1"/>
    </xf>
    <xf numFmtId="49" fontId="0" fillId="2" borderId="40" xfId="0" applyNumberFormat="1" applyFill="1" applyBorder="1" applyAlignment="1">
      <alignment vertical="top" wrapText="1"/>
    </xf>
    <xf numFmtId="0" fontId="2" fillId="5" borderId="16" xfId="0" applyFont="1" applyFill="1" applyBorder="1"/>
    <xf numFmtId="0" fontId="2" fillId="5" borderId="19" xfId="0" applyFont="1" applyFill="1" applyBorder="1"/>
    <xf numFmtId="0" fontId="0" fillId="5" borderId="20" xfId="0" applyFont="1" applyFill="1" applyBorder="1" applyAlignment="1">
      <alignment horizontal="right"/>
    </xf>
    <xf numFmtId="0" fontId="0" fillId="6" borderId="40" xfId="0" applyFont="1" applyFill="1" applyBorder="1"/>
    <xf numFmtId="0" fontId="0" fillId="6" borderId="28" xfId="0" applyFont="1" applyFill="1" applyBorder="1"/>
    <xf numFmtId="3" fontId="0" fillId="6" borderId="39" xfId="0" applyNumberFormat="1" applyFont="1" applyFill="1" applyBorder="1" applyAlignment="1">
      <alignment horizontal="right"/>
    </xf>
    <xf numFmtId="0" fontId="0" fillId="6" borderId="44" xfId="0" quotePrefix="1" applyFont="1" applyFill="1" applyBorder="1"/>
    <xf numFmtId="3" fontId="0" fillId="6" borderId="34" xfId="0" applyNumberFormat="1" applyFont="1" applyFill="1" applyBorder="1" applyAlignment="1">
      <alignment horizontal="right"/>
    </xf>
    <xf numFmtId="0" fontId="2" fillId="6" borderId="40" xfId="0" applyFont="1" applyFill="1" applyBorder="1"/>
    <xf numFmtId="3" fontId="2" fillId="6" borderId="39" xfId="0" applyNumberFormat="1" applyFont="1" applyFill="1" applyBorder="1" applyAlignment="1">
      <alignment horizontal="right"/>
    </xf>
    <xf numFmtId="0" fontId="0" fillId="6" borderId="18" xfId="0" applyFont="1" applyFill="1" applyBorder="1"/>
    <xf numFmtId="9" fontId="0" fillId="6" borderId="5" xfId="0" applyNumberFormat="1" applyFont="1" applyFill="1" applyBorder="1" applyAlignment="1">
      <alignment horizontal="right"/>
    </xf>
    <xf numFmtId="167" fontId="0" fillId="6" borderId="39" xfId="0" applyNumberFormat="1" applyFont="1" applyFill="1" applyBorder="1" applyAlignment="1">
      <alignment horizontal="right"/>
    </xf>
    <xf numFmtId="0" fontId="0" fillId="6" borderId="36" xfId="0" applyFont="1" applyFill="1" applyBorder="1"/>
    <xf numFmtId="0" fontId="0" fillId="6" borderId="37" xfId="0" applyFont="1" applyFill="1" applyBorder="1"/>
    <xf numFmtId="165" fontId="0" fillId="6" borderId="31" xfId="1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quotePrefix="1" applyFont="1"/>
    <xf numFmtId="166" fontId="0" fillId="2" borderId="5" xfId="0" applyNumberFormat="1" applyFont="1" applyFill="1" applyBorder="1" applyAlignment="1">
      <alignment horizontal="right"/>
    </xf>
    <xf numFmtId="0" fontId="0" fillId="2" borderId="23" xfId="0" applyFill="1" applyBorder="1"/>
    <xf numFmtId="10" fontId="0" fillId="2" borderId="24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left" vertical="top"/>
    </xf>
    <xf numFmtId="164" fontId="4" fillId="4" borderId="22" xfId="0" applyNumberFormat="1" applyFont="1" applyFill="1" applyBorder="1" applyAlignment="1">
      <alignment horizontal="right" vertical="top" wrapText="1"/>
    </xf>
    <xf numFmtId="1" fontId="2" fillId="4" borderId="8" xfId="0" applyNumberFormat="1" applyFont="1" applyFill="1" applyBorder="1"/>
    <xf numFmtId="0" fontId="3" fillId="5" borderId="19" xfId="0" applyFont="1" applyFill="1" applyBorder="1"/>
    <xf numFmtId="0" fontId="0" fillId="2" borderId="29" xfId="0" applyFont="1" applyFill="1" applyBorder="1"/>
    <xf numFmtId="0" fontId="0" fillId="2" borderId="21" xfId="0" applyFont="1" applyFill="1" applyBorder="1"/>
    <xf numFmtId="0" fontId="0" fillId="2" borderId="17" xfId="0" applyFont="1" applyFill="1" applyBorder="1"/>
    <xf numFmtId="0" fontId="0" fillId="2" borderId="14" xfId="0" applyFont="1" applyFill="1" applyBorder="1"/>
    <xf numFmtId="0" fontId="0" fillId="2" borderId="18" xfId="0" applyFont="1" applyFill="1" applyBorder="1"/>
    <xf numFmtId="0" fontId="0" fillId="2" borderId="15" xfId="0" applyFont="1" applyFill="1" applyBorder="1"/>
    <xf numFmtId="49" fontId="0" fillId="0" borderId="0" xfId="0" applyNumberForma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top" wrapText="1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Consumo, Geração e Conta no 1° ano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Dimensionar!$C$13</c:f>
              <c:strCache>
                <c:ptCount val="1"/>
                <c:pt idx="0">
                  <c:v>Consumo bruto [kWh]</c:v>
                </c:pt>
              </c:strCache>
            </c:strRef>
          </c:tx>
          <c:marker>
            <c:symbol val="none"/>
          </c:marker>
          <c:cat>
            <c:strRef>
              <c:f>Dimensionar!$A$14:$A$25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Dimensionar!$C$14:$C$25</c:f>
              <c:numCache>
                <c:formatCode>#,##0</c:formatCode>
                <c:ptCount val="12"/>
                <c:pt idx="0">
                  <c:v>980</c:v>
                </c:pt>
                <c:pt idx="1">
                  <c:v>960</c:v>
                </c:pt>
                <c:pt idx="2">
                  <c:v>734</c:v>
                </c:pt>
                <c:pt idx="3">
                  <c:v>810</c:v>
                </c:pt>
                <c:pt idx="4">
                  <c:v>650</c:v>
                </c:pt>
                <c:pt idx="5">
                  <c:v>540</c:v>
                </c:pt>
                <c:pt idx="6">
                  <c:v>670</c:v>
                </c:pt>
                <c:pt idx="7">
                  <c:v>640</c:v>
                </c:pt>
                <c:pt idx="8">
                  <c:v>690</c:v>
                </c:pt>
                <c:pt idx="9">
                  <c:v>780</c:v>
                </c:pt>
                <c:pt idx="10">
                  <c:v>820</c:v>
                </c:pt>
                <c:pt idx="11">
                  <c:v>920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Dimensionar!$D$13</c:f>
              <c:strCache>
                <c:ptCount val="1"/>
                <c:pt idx="0">
                  <c:v>Geração na potência [kWh]</c:v>
                </c:pt>
              </c:strCache>
            </c:strRef>
          </c:tx>
          <c:marker>
            <c:symbol val="none"/>
          </c:marker>
          <c:cat>
            <c:strRef>
              <c:f>Dimensionar!$A$14:$A$25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Dimensionar!$D$14:$D$25</c:f>
              <c:numCache>
                <c:formatCode>#,##0</c:formatCode>
                <c:ptCount val="12"/>
                <c:pt idx="0">
                  <c:v>690</c:v>
                </c:pt>
                <c:pt idx="1">
                  <c:v>655</c:v>
                </c:pt>
                <c:pt idx="2">
                  <c:v>640</c:v>
                </c:pt>
                <c:pt idx="3">
                  <c:v>605</c:v>
                </c:pt>
                <c:pt idx="4">
                  <c:v>540</c:v>
                </c:pt>
                <c:pt idx="5">
                  <c:v>515</c:v>
                </c:pt>
                <c:pt idx="6">
                  <c:v>530</c:v>
                </c:pt>
                <c:pt idx="7">
                  <c:v>590</c:v>
                </c:pt>
                <c:pt idx="8">
                  <c:v>570</c:v>
                </c:pt>
                <c:pt idx="9">
                  <c:v>635</c:v>
                </c:pt>
                <c:pt idx="10">
                  <c:v>660</c:v>
                </c:pt>
                <c:pt idx="11">
                  <c:v>660</c:v>
                </c:pt>
              </c:numCache>
            </c:numRef>
          </c:val>
          <c:smooth val="0"/>
        </c:ser>
        <c:ser>
          <c:idx val="2"/>
          <c:order val="2"/>
          <c:tx>
            <c:v>Conta a pagar [kWh]</c:v>
          </c:tx>
          <c:marker>
            <c:symbol val="none"/>
          </c:marker>
          <c:val>
            <c:numRef>
              <c:f>Dimensionar!$F$14:$F$25</c:f>
              <c:numCache>
                <c:formatCode>#,##0</c:formatCode>
                <c:ptCount val="12"/>
                <c:pt idx="0">
                  <c:v>290</c:v>
                </c:pt>
                <c:pt idx="1">
                  <c:v>305</c:v>
                </c:pt>
                <c:pt idx="2">
                  <c:v>100</c:v>
                </c:pt>
                <c:pt idx="3">
                  <c:v>205</c:v>
                </c:pt>
                <c:pt idx="4">
                  <c:v>110</c:v>
                </c:pt>
                <c:pt idx="5">
                  <c:v>100</c:v>
                </c:pt>
                <c:pt idx="6">
                  <c:v>140</c:v>
                </c:pt>
                <c:pt idx="7">
                  <c:v>100</c:v>
                </c:pt>
                <c:pt idx="8">
                  <c:v>120</c:v>
                </c:pt>
                <c:pt idx="9">
                  <c:v>145</c:v>
                </c:pt>
                <c:pt idx="10">
                  <c:v>160</c:v>
                </c:pt>
                <c:pt idx="11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07040"/>
        <c:axId val="186808576"/>
      </c:lineChart>
      <c:catAx>
        <c:axId val="18680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808576"/>
        <c:crosses val="autoZero"/>
        <c:auto val="1"/>
        <c:lblAlgn val="ctr"/>
        <c:lblOffset val="100"/>
        <c:noMultiLvlLbl val="0"/>
      </c:catAx>
      <c:valAx>
        <c:axId val="186808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6807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Fluxo de Caixa Acumulado</c:v>
          </c:tx>
          <c:marker>
            <c:symbol val="none"/>
          </c:marker>
          <c:cat>
            <c:numRef>
              <c:f>'Fluxo de caixa'!$B$28:$AA$28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'Fluxo de caixa'!$B$38:$AA$38</c:f>
              <c:numCache>
                <c:formatCode>#,##0</c:formatCode>
                <c:ptCount val="26"/>
                <c:pt idx="0">
                  <c:v>-27500</c:v>
                </c:pt>
                <c:pt idx="1">
                  <c:v>-21667.129999999997</c:v>
                </c:pt>
                <c:pt idx="2">
                  <c:v>-15340.622482999997</c:v>
                </c:pt>
                <c:pt idx="3">
                  <c:v>-8480.1404214052964</c:v>
                </c:pt>
                <c:pt idx="4">
                  <c:v>-1042.1045167384545</c:v>
                </c:pt>
                <c:pt idx="5">
                  <c:v>7020.5653284675354</c:v>
                </c:pt>
                <c:pt idx="6">
                  <c:v>15758.729070928521</c:v>
                </c:pt>
                <c:pt idx="7">
                  <c:v>25227.327746417337</c:v>
                </c:pt>
                <c:pt idx="8">
                  <c:v>35485.708605376451</c:v>
                </c:pt>
                <c:pt idx="9">
                  <c:v>46597.976059647932</c:v>
                </c:pt>
                <c:pt idx="10">
                  <c:v>58633.370485695741</c:v>
                </c:pt>
                <c:pt idx="11">
                  <c:v>71666.677091633115</c:v>
                </c:pt>
                <c:pt idx="12">
                  <c:v>85778.667230120889</c:v>
                </c:pt>
                <c:pt idx="13">
                  <c:v>101056.57472778464</c:v>
                </c:pt>
                <c:pt idx="14">
                  <c:v>117594.61000530403</c:v>
                </c:pt>
                <c:pt idx="15">
                  <c:v>135494.51498193727</c:v>
                </c:pt>
                <c:pt idx="16">
                  <c:v>154866.16199523077</c:v>
                </c:pt>
                <c:pt idx="17">
                  <c:v>175828.20022240464</c:v>
                </c:pt>
                <c:pt idx="18">
                  <c:v>198508.75336588203</c:v>
                </c:pt>
                <c:pt idx="19">
                  <c:v>223046.17266324389</c:v>
                </c:pt>
                <c:pt idx="20">
                  <c:v>249589.8496032719</c:v>
                </c:pt>
                <c:pt idx="21">
                  <c:v>278301.09307655075</c:v>
                </c:pt>
                <c:pt idx="22">
                  <c:v>309354.07606335235</c:v>
                </c:pt>
                <c:pt idx="23">
                  <c:v>342936.85736538784</c:v>
                </c:pt>
                <c:pt idx="24">
                  <c:v>379252.48432383128</c:v>
                </c:pt>
                <c:pt idx="25">
                  <c:v>418520.18293632125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25760"/>
        <c:axId val="187548032"/>
      </c:lineChart>
      <c:catAx>
        <c:axId val="1875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548032"/>
        <c:crosses val="autoZero"/>
        <c:auto val="1"/>
        <c:lblAlgn val="ctr"/>
        <c:lblOffset val="100"/>
        <c:noMultiLvlLbl val="0"/>
      </c:catAx>
      <c:valAx>
        <c:axId val="187548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7525760"/>
        <c:crossesAt val="1"/>
        <c:crossBetween val="midCat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154518</xdr:colOff>
      <xdr:row>12</xdr:row>
      <xdr:rowOff>19050</xdr:rowOff>
    </xdr:from>
    <xdr:to>
      <xdr:col>11</xdr:col>
      <xdr:colOff>581025</xdr:colOff>
      <xdr:row>26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825500</xdr:colOff>
      <xdr:row>0</xdr:row>
      <xdr:rowOff>7409</xdr:rowOff>
    </xdr:from>
    <xdr:to>
      <xdr:col>11</xdr:col>
      <xdr:colOff>578400</xdr:colOff>
      <xdr:row>0</xdr:row>
      <xdr:rowOff>502709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8083" y="7409"/>
          <a:ext cx="1287484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1121</xdr:colOff>
      <xdr:row>1</xdr:row>
      <xdr:rowOff>196664</xdr:rowOff>
    </xdr:from>
    <xdr:to>
      <xdr:col>12</xdr:col>
      <xdr:colOff>600075</xdr:colOff>
      <xdr:row>25</xdr:row>
      <xdr:rowOff>196664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476250</xdr:colOff>
      <xdr:row>0</xdr:row>
      <xdr:rowOff>9525</xdr:rowOff>
    </xdr:from>
    <xdr:to>
      <xdr:col>12</xdr:col>
      <xdr:colOff>603952</xdr:colOff>
      <xdr:row>0</xdr:row>
      <xdr:rowOff>531114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9525"/>
          <a:ext cx="1346902" cy="521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90" zoomScaleNormal="90" workbookViewId="0">
      <selection activeCell="I5" sqref="I5"/>
    </sheetView>
  </sheetViews>
  <sheetFormatPr defaultRowHeight="15" x14ac:dyDescent="0.25"/>
  <cols>
    <col min="1" max="1" width="37.5703125" customWidth="1"/>
    <col min="2" max="2" width="15.28515625" customWidth="1"/>
    <col min="3" max="3" width="13.28515625" customWidth="1"/>
    <col min="4" max="4" width="15" customWidth="1"/>
    <col min="5" max="5" width="13.42578125" customWidth="1"/>
    <col min="6" max="6" width="13.5703125" customWidth="1"/>
    <col min="7" max="7" width="12.5703125" customWidth="1"/>
    <col min="8" max="8" width="10.7109375" customWidth="1"/>
    <col min="9" max="9" width="37.85546875" customWidth="1"/>
    <col min="10" max="10" width="13.85546875" customWidth="1"/>
  </cols>
  <sheetData>
    <row r="1" spans="1:15" s="10" customFormat="1" ht="42.95" customHeight="1" thickBot="1" x14ac:dyDescent="0.3">
      <c r="A1" s="7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5" ht="15.75" thickBot="1" x14ac:dyDescent="0.3"/>
    <row r="3" spans="1:15" ht="15.75" x14ac:dyDescent="0.25">
      <c r="A3" s="66" t="s">
        <v>62</v>
      </c>
      <c r="B3" s="85"/>
      <c r="C3" s="12"/>
      <c r="D3" s="66" t="s">
        <v>20</v>
      </c>
      <c r="E3" s="117"/>
      <c r="F3" s="117"/>
      <c r="G3" s="67"/>
    </row>
    <row r="4" spans="1:15" s="11" customFormat="1" ht="15" customHeight="1" x14ac:dyDescent="0.25">
      <c r="A4" s="92" t="s">
        <v>58</v>
      </c>
      <c r="B4" s="88" t="s">
        <v>52</v>
      </c>
      <c r="C4" s="82"/>
      <c r="D4" s="120" t="s">
        <v>53</v>
      </c>
      <c r="E4" s="118"/>
      <c r="F4" s="121"/>
      <c r="G4" s="68">
        <v>0.93</v>
      </c>
      <c r="L4"/>
    </row>
    <row r="5" spans="1:15" s="11" customFormat="1" ht="15.75" customHeight="1" x14ac:dyDescent="0.25">
      <c r="A5" s="87" t="s">
        <v>61</v>
      </c>
      <c r="B5" s="86" t="s">
        <v>43</v>
      </c>
      <c r="C5" s="82"/>
      <c r="D5" s="120" t="s">
        <v>74</v>
      </c>
      <c r="E5" s="118"/>
      <c r="F5" s="121"/>
      <c r="G5" s="116">
        <v>100</v>
      </c>
      <c r="L5"/>
    </row>
    <row r="6" spans="1:15" s="11" customFormat="1" ht="16.5" customHeight="1" x14ac:dyDescent="0.25">
      <c r="A6" s="87" t="s">
        <v>60</v>
      </c>
      <c r="B6" s="89">
        <v>0</v>
      </c>
      <c r="C6" s="82"/>
      <c r="D6" s="120" t="s">
        <v>51</v>
      </c>
      <c r="E6" s="118"/>
      <c r="F6" s="121"/>
      <c r="G6" s="69">
        <v>0.01</v>
      </c>
      <c r="L6"/>
    </row>
    <row r="7" spans="1:15" s="11" customFormat="1" x14ac:dyDescent="0.25">
      <c r="A7" s="87" t="s">
        <v>59</v>
      </c>
      <c r="B7" s="89">
        <v>20</v>
      </c>
      <c r="C7" s="82"/>
      <c r="D7" s="120" t="s">
        <v>21</v>
      </c>
      <c r="E7" s="118"/>
      <c r="F7" s="121"/>
      <c r="G7" s="13">
        <v>25</v>
      </c>
      <c r="L7"/>
    </row>
    <row r="8" spans="1:15" s="64" customFormat="1" ht="15" customHeight="1" thickBot="1" x14ac:dyDescent="0.3">
      <c r="A8" s="90" t="s">
        <v>70</v>
      </c>
      <c r="B8" s="91">
        <v>1</v>
      </c>
      <c r="C8" s="83"/>
      <c r="D8" s="120" t="s">
        <v>22</v>
      </c>
      <c r="E8" s="118"/>
      <c r="F8" s="121"/>
      <c r="G8" s="70">
        <v>5500</v>
      </c>
      <c r="L8" s="10"/>
    </row>
    <row r="9" spans="1:15" s="64" customFormat="1" ht="15" customHeight="1" x14ac:dyDescent="0.25">
      <c r="A9" s="124"/>
      <c r="B9" s="125"/>
      <c r="C9" s="83"/>
      <c r="D9" s="120" t="s">
        <v>54</v>
      </c>
      <c r="E9" s="118"/>
      <c r="F9" s="121"/>
      <c r="G9" s="69">
        <v>0.03</v>
      </c>
      <c r="L9" s="10"/>
    </row>
    <row r="10" spans="1:15" s="64" customFormat="1" ht="15.75" thickBot="1" x14ac:dyDescent="0.3">
      <c r="A10" s="82"/>
      <c r="B10"/>
      <c r="C10" s="83"/>
      <c r="D10" s="120" t="s">
        <v>73</v>
      </c>
      <c r="E10" s="118"/>
      <c r="F10" s="121"/>
      <c r="G10" s="69">
        <v>0.04</v>
      </c>
      <c r="L10" s="10"/>
    </row>
    <row r="11" spans="1:15" s="11" customFormat="1" ht="18" customHeight="1" thickBot="1" x14ac:dyDescent="0.3">
      <c r="A11" s="114" t="s">
        <v>72</v>
      </c>
      <c r="B11" s="115">
        <v>5</v>
      </c>
      <c r="C11" s="82"/>
      <c r="D11" s="122" t="s">
        <v>68</v>
      </c>
      <c r="E11" s="119"/>
      <c r="F11" s="123"/>
      <c r="G11" s="65">
        <v>0.09</v>
      </c>
      <c r="L11"/>
    </row>
    <row r="12" spans="1:15" s="11" customFormat="1" ht="13.5" customHeight="1" thickBot="1" x14ac:dyDescent="0.3">
      <c r="A12" s="84"/>
      <c r="B12" s="82"/>
      <c r="C12" s="82"/>
      <c r="D12" s="84"/>
      <c r="E12" s="82"/>
      <c r="F12" s="82"/>
      <c r="G12" s="82"/>
      <c r="O12"/>
    </row>
    <row r="13" spans="1:15" s="11" customFormat="1" ht="36.75" customHeight="1" x14ac:dyDescent="0.25">
      <c r="A13" s="14"/>
      <c r="B13" s="15" t="s">
        <v>67</v>
      </c>
      <c r="C13" s="49" t="s">
        <v>65</v>
      </c>
      <c r="D13" s="15" t="s">
        <v>71</v>
      </c>
      <c r="E13" s="16" t="s">
        <v>66</v>
      </c>
      <c r="F13" s="49" t="s">
        <v>42</v>
      </c>
      <c r="G13" s="16" t="s">
        <v>40</v>
      </c>
      <c r="O13"/>
    </row>
    <row r="14" spans="1:15" x14ac:dyDescent="0.25">
      <c r="A14" s="17" t="s">
        <v>2</v>
      </c>
      <c r="B14" s="46">
        <v>138</v>
      </c>
      <c r="C14" s="57">
        <v>980</v>
      </c>
      <c r="D14" s="41">
        <f t="shared" ref="D14:D25" si="0">B14*B$11/B$8</f>
        <v>690</v>
      </c>
      <c r="E14" s="18">
        <f t="shared" ref="E14:E26" si="1">C14-D14</f>
        <v>290</v>
      </c>
      <c r="F14" s="50">
        <f t="shared" ref="F14:F25" si="2">IF(E14&gt;G$5,E14,G$5)</f>
        <v>290</v>
      </c>
      <c r="G14" s="18">
        <f t="shared" ref="G14:G25" si="3">IF(E14&lt;0,G$5,IF(E14&lt;G$5,G$5-E14,0))</f>
        <v>0</v>
      </c>
      <c r="I14" s="11"/>
      <c r="J14" s="11"/>
    </row>
    <row r="15" spans="1:15" x14ac:dyDescent="0.25">
      <c r="A15" s="4" t="s">
        <v>3</v>
      </c>
      <c r="B15" s="46">
        <v>131</v>
      </c>
      <c r="C15" s="57">
        <v>960</v>
      </c>
      <c r="D15" s="41">
        <f t="shared" si="0"/>
        <v>655</v>
      </c>
      <c r="E15" s="18">
        <f t="shared" si="1"/>
        <v>305</v>
      </c>
      <c r="F15" s="50">
        <f t="shared" si="2"/>
        <v>305</v>
      </c>
      <c r="G15" s="18">
        <f t="shared" si="3"/>
        <v>0</v>
      </c>
    </row>
    <row r="16" spans="1:15" x14ac:dyDescent="0.25">
      <c r="A16" s="4" t="s">
        <v>4</v>
      </c>
      <c r="B16" s="46">
        <v>128</v>
      </c>
      <c r="C16" s="57">
        <v>734</v>
      </c>
      <c r="D16" s="41">
        <f t="shared" si="0"/>
        <v>640</v>
      </c>
      <c r="E16" s="18">
        <f t="shared" si="1"/>
        <v>94</v>
      </c>
      <c r="F16" s="50">
        <f t="shared" si="2"/>
        <v>100</v>
      </c>
      <c r="G16" s="18">
        <f t="shared" si="3"/>
        <v>6</v>
      </c>
    </row>
    <row r="17" spans="1:9" x14ac:dyDescent="0.25">
      <c r="A17" s="4" t="s">
        <v>5</v>
      </c>
      <c r="B17" s="46">
        <v>121</v>
      </c>
      <c r="C17" s="57">
        <v>810</v>
      </c>
      <c r="D17" s="41">
        <f t="shared" si="0"/>
        <v>605</v>
      </c>
      <c r="E17" s="18">
        <f t="shared" si="1"/>
        <v>205</v>
      </c>
      <c r="F17" s="50">
        <f t="shared" si="2"/>
        <v>205</v>
      </c>
      <c r="G17" s="18">
        <f t="shared" si="3"/>
        <v>0</v>
      </c>
    </row>
    <row r="18" spans="1:9" x14ac:dyDescent="0.25">
      <c r="A18" s="4" t="s">
        <v>6</v>
      </c>
      <c r="B18" s="46">
        <v>108</v>
      </c>
      <c r="C18" s="57">
        <v>650</v>
      </c>
      <c r="D18" s="41">
        <f t="shared" si="0"/>
        <v>540</v>
      </c>
      <c r="E18" s="18">
        <f t="shared" si="1"/>
        <v>110</v>
      </c>
      <c r="F18" s="50">
        <f t="shared" si="2"/>
        <v>110</v>
      </c>
      <c r="G18" s="18">
        <f t="shared" si="3"/>
        <v>0</v>
      </c>
    </row>
    <row r="19" spans="1:9" x14ac:dyDescent="0.25">
      <c r="A19" s="4" t="s">
        <v>7</v>
      </c>
      <c r="B19" s="46">
        <v>103</v>
      </c>
      <c r="C19" s="57">
        <v>540</v>
      </c>
      <c r="D19" s="41">
        <f t="shared" si="0"/>
        <v>515</v>
      </c>
      <c r="E19" s="18">
        <f t="shared" si="1"/>
        <v>25</v>
      </c>
      <c r="F19" s="50">
        <f t="shared" si="2"/>
        <v>100</v>
      </c>
      <c r="G19" s="18">
        <f t="shared" si="3"/>
        <v>75</v>
      </c>
    </row>
    <row r="20" spans="1:9" x14ac:dyDescent="0.25">
      <c r="A20" s="4" t="s">
        <v>8</v>
      </c>
      <c r="B20" s="46">
        <v>106</v>
      </c>
      <c r="C20" s="57">
        <v>670</v>
      </c>
      <c r="D20" s="41">
        <f t="shared" si="0"/>
        <v>530</v>
      </c>
      <c r="E20" s="18">
        <f t="shared" si="1"/>
        <v>140</v>
      </c>
      <c r="F20" s="50">
        <f t="shared" si="2"/>
        <v>140</v>
      </c>
      <c r="G20" s="18">
        <f t="shared" si="3"/>
        <v>0</v>
      </c>
    </row>
    <row r="21" spans="1:9" x14ac:dyDescent="0.25">
      <c r="A21" s="4" t="s">
        <v>9</v>
      </c>
      <c r="B21" s="46">
        <v>118</v>
      </c>
      <c r="C21" s="57">
        <v>640</v>
      </c>
      <c r="D21" s="41">
        <f t="shared" si="0"/>
        <v>590</v>
      </c>
      <c r="E21" s="18">
        <f t="shared" si="1"/>
        <v>50</v>
      </c>
      <c r="F21" s="50">
        <f t="shared" si="2"/>
        <v>100</v>
      </c>
      <c r="G21" s="18">
        <f t="shared" si="3"/>
        <v>50</v>
      </c>
    </row>
    <row r="22" spans="1:9" x14ac:dyDescent="0.25">
      <c r="A22" s="4" t="s">
        <v>10</v>
      </c>
      <c r="B22" s="46">
        <v>114</v>
      </c>
      <c r="C22" s="57">
        <v>690</v>
      </c>
      <c r="D22" s="41">
        <f t="shared" si="0"/>
        <v>570</v>
      </c>
      <c r="E22" s="18">
        <f t="shared" si="1"/>
        <v>120</v>
      </c>
      <c r="F22" s="50">
        <f t="shared" si="2"/>
        <v>120</v>
      </c>
      <c r="G22" s="18">
        <f t="shared" si="3"/>
        <v>0</v>
      </c>
    </row>
    <row r="23" spans="1:9" x14ac:dyDescent="0.25">
      <c r="A23" s="4" t="s">
        <v>11</v>
      </c>
      <c r="B23" s="46">
        <v>127</v>
      </c>
      <c r="C23" s="57">
        <v>780</v>
      </c>
      <c r="D23" s="41">
        <f t="shared" si="0"/>
        <v>635</v>
      </c>
      <c r="E23" s="18">
        <f t="shared" si="1"/>
        <v>145</v>
      </c>
      <c r="F23" s="50">
        <f t="shared" si="2"/>
        <v>145</v>
      </c>
      <c r="G23" s="18">
        <f t="shared" si="3"/>
        <v>0</v>
      </c>
    </row>
    <row r="24" spans="1:9" x14ac:dyDescent="0.25">
      <c r="A24" s="4" t="s">
        <v>12</v>
      </c>
      <c r="B24" s="46">
        <v>132</v>
      </c>
      <c r="C24" s="57">
        <v>820</v>
      </c>
      <c r="D24" s="41">
        <f t="shared" si="0"/>
        <v>660</v>
      </c>
      <c r="E24" s="18">
        <f t="shared" si="1"/>
        <v>160</v>
      </c>
      <c r="F24" s="50">
        <f t="shared" si="2"/>
        <v>160</v>
      </c>
      <c r="G24" s="18">
        <f t="shared" si="3"/>
        <v>0</v>
      </c>
    </row>
    <row r="25" spans="1:9" ht="15.75" thickBot="1" x14ac:dyDescent="0.3">
      <c r="A25" s="19" t="s">
        <v>13</v>
      </c>
      <c r="B25" s="47">
        <v>132</v>
      </c>
      <c r="C25" s="58">
        <v>920</v>
      </c>
      <c r="D25" s="41">
        <f t="shared" si="0"/>
        <v>660</v>
      </c>
      <c r="E25" s="20">
        <f t="shared" si="1"/>
        <v>260</v>
      </c>
      <c r="F25" s="50">
        <f t="shared" si="2"/>
        <v>260</v>
      </c>
      <c r="G25" s="18">
        <f t="shared" si="3"/>
        <v>0</v>
      </c>
    </row>
    <row r="26" spans="1:9" ht="16.5" thickTop="1" thickBot="1" x14ac:dyDescent="0.3">
      <c r="A26" s="21" t="s">
        <v>1</v>
      </c>
      <c r="B26" s="22">
        <f>SUM(B14:B25)</f>
        <v>1458</v>
      </c>
      <c r="C26" s="51">
        <f>SUM(C14:C25)</f>
        <v>9194</v>
      </c>
      <c r="D26" s="22">
        <f>SUM(D14:D25)</f>
        <v>7290</v>
      </c>
      <c r="E26" s="23">
        <f t="shared" si="1"/>
        <v>1904</v>
      </c>
      <c r="F26" s="52">
        <f>SUM(F14:F25)</f>
        <v>2035</v>
      </c>
      <c r="G26" s="53">
        <f>SUM(G14:G25)</f>
        <v>131</v>
      </c>
    </row>
    <row r="27" spans="1:9" ht="15.75" thickBot="1" x14ac:dyDescent="0.3">
      <c r="A27" s="54" t="s">
        <v>39</v>
      </c>
      <c r="B27" s="55">
        <f>AVERAGE(B14:B25)</f>
        <v>121.5</v>
      </c>
      <c r="C27" s="59">
        <f t="shared" ref="C27:F27" si="4">AVERAGE(C14:C25)</f>
        <v>766.16666666666663</v>
      </c>
      <c r="D27" s="55">
        <f t="shared" si="4"/>
        <v>607.5</v>
      </c>
      <c r="E27" s="81">
        <f t="shared" si="4"/>
        <v>158.66666666666666</v>
      </c>
      <c r="F27" s="55">
        <f t="shared" si="4"/>
        <v>169.58333333333334</v>
      </c>
      <c r="G27" s="56"/>
    </row>
    <row r="28" spans="1:9" ht="15.75" thickBot="1" x14ac:dyDescent="0.3"/>
    <row r="29" spans="1:9" x14ac:dyDescent="0.25">
      <c r="A29" s="93" t="s">
        <v>46</v>
      </c>
      <c r="B29" s="95"/>
      <c r="D29" s="93" t="s">
        <v>55</v>
      </c>
      <c r="E29" s="94"/>
      <c r="F29" s="94"/>
      <c r="G29" s="95"/>
      <c r="I29" s="109" t="s">
        <v>57</v>
      </c>
    </row>
    <row r="30" spans="1:9" x14ac:dyDescent="0.25">
      <c r="A30" s="96" t="s">
        <v>47</v>
      </c>
      <c r="B30" s="98">
        <f>D26</f>
        <v>7290</v>
      </c>
      <c r="D30" s="96" t="s">
        <v>36</v>
      </c>
      <c r="E30" s="97"/>
      <c r="F30" s="97"/>
      <c r="G30" s="98">
        <f>'Fluxo de caixa'!B19</f>
        <v>27500</v>
      </c>
      <c r="I30" s="110" t="s">
        <v>63</v>
      </c>
    </row>
    <row r="31" spans="1:9" ht="15.75" thickBot="1" x14ac:dyDescent="0.3">
      <c r="A31" s="99" t="s">
        <v>50</v>
      </c>
      <c r="B31" s="100">
        <f>G26</f>
        <v>131</v>
      </c>
      <c r="D31" s="96" t="s">
        <v>28</v>
      </c>
      <c r="E31" s="97"/>
      <c r="F31" s="97"/>
      <c r="G31" s="105">
        <f>'Fluxo de caixa'!B24</f>
        <v>4.1292505505925039</v>
      </c>
    </row>
    <row r="32" spans="1:9" ht="16.5" thickTop="1" thickBot="1" x14ac:dyDescent="0.3">
      <c r="A32" s="101" t="s">
        <v>41</v>
      </c>
      <c r="B32" s="102">
        <f>B30-B31</f>
        <v>7159</v>
      </c>
      <c r="D32" s="106" t="s">
        <v>49</v>
      </c>
      <c r="E32" s="107"/>
      <c r="F32" s="107"/>
      <c r="G32" s="108">
        <f>'Fluxo de caixa'!B25</f>
        <v>0.29332653510436724</v>
      </c>
    </row>
    <row r="33" spans="1:2" ht="15.75" thickBot="1" x14ac:dyDescent="0.3">
      <c r="A33" s="103" t="s">
        <v>48</v>
      </c>
      <c r="B33" s="104">
        <f>B32/C26</f>
        <v>0.77865999564933652</v>
      </c>
    </row>
  </sheetData>
  <pageMargins left="0.51181102362204722" right="0.51181102362204722" top="0.78740157480314965" bottom="0.78740157480314965" header="0.31496062992125984" footer="0.31496062992125984"/>
  <pageSetup paperSize="9" scale="69" orientation="landscape" r:id="rId1"/>
  <headerFooter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zoomScale="90" zoomScaleNormal="90" workbookViewId="0">
      <selection activeCell="P19" sqref="P19"/>
    </sheetView>
  </sheetViews>
  <sheetFormatPr defaultRowHeight="15" x14ac:dyDescent="0.25"/>
  <cols>
    <col min="1" max="1" width="35.85546875" bestFit="1" customWidth="1"/>
    <col min="2" max="2" width="17.42578125" style="2" customWidth="1"/>
    <col min="3" max="5" width="10.7109375" customWidth="1"/>
    <col min="6" max="6" width="11.28515625" customWidth="1"/>
  </cols>
  <sheetData>
    <row r="1" spans="1:13" s="10" customFormat="1" ht="42.95" customHeight="1" thickBot="1" x14ac:dyDescent="0.3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5.75" thickBot="1" x14ac:dyDescent="0.3">
      <c r="B2"/>
    </row>
    <row r="3" spans="1:13" ht="15.75" x14ac:dyDescent="0.25">
      <c r="A3" s="24" t="s">
        <v>14</v>
      </c>
      <c r="B3" s="25" t="s">
        <v>0</v>
      </c>
    </row>
    <row r="4" spans="1:13" x14ac:dyDescent="0.25">
      <c r="A4" s="26" t="s">
        <v>15</v>
      </c>
      <c r="B4" s="78" t="str">
        <f>Dimensionar!B5</f>
        <v>Santos Dumont</v>
      </c>
    </row>
    <row r="5" spans="1:13" x14ac:dyDescent="0.25">
      <c r="A5" s="26" t="s">
        <v>16</v>
      </c>
      <c r="B5" s="48">
        <f>Dimensionar!C26</f>
        <v>9194</v>
      </c>
    </row>
    <row r="6" spans="1:13" ht="15.75" thickBot="1" x14ac:dyDescent="0.3">
      <c r="A6" s="5" t="s">
        <v>17</v>
      </c>
      <c r="B6" s="111">
        <f>Dimensionar!G4</f>
        <v>0.93</v>
      </c>
      <c r="F6" s="1"/>
    </row>
    <row r="7" spans="1:13" ht="15.75" thickBot="1" x14ac:dyDescent="0.3">
      <c r="A7" s="60"/>
      <c r="B7" s="61"/>
      <c r="C7" s="12"/>
    </row>
    <row r="8" spans="1:13" x14ac:dyDescent="0.25">
      <c r="A8" s="27" t="s">
        <v>18</v>
      </c>
      <c r="B8" s="28"/>
    </row>
    <row r="9" spans="1:13" x14ac:dyDescent="0.25">
      <c r="A9" s="4" t="s">
        <v>19</v>
      </c>
      <c r="B9" s="77">
        <f>Dimensionar!B11</f>
        <v>5</v>
      </c>
    </row>
    <row r="10" spans="1:13" x14ac:dyDescent="0.25">
      <c r="A10" s="4" t="s">
        <v>45</v>
      </c>
      <c r="B10" s="48">
        <f>Dimensionar!B32</f>
        <v>7159</v>
      </c>
    </row>
    <row r="11" spans="1:13" ht="15.75" thickBot="1" x14ac:dyDescent="0.3">
      <c r="A11" s="5" t="s">
        <v>51</v>
      </c>
      <c r="B11" s="76">
        <f>Dimensionar!G6</f>
        <v>0.01</v>
      </c>
    </row>
    <row r="12" spans="1:13" ht="15.75" thickBot="1" x14ac:dyDescent="0.3">
      <c r="A12" s="60"/>
      <c r="B12" s="61"/>
      <c r="C12" s="12"/>
    </row>
    <row r="13" spans="1:13" ht="15.75" x14ac:dyDescent="0.25">
      <c r="A13" s="24" t="s">
        <v>20</v>
      </c>
      <c r="B13" s="25"/>
    </row>
    <row r="14" spans="1:13" x14ac:dyDescent="0.25">
      <c r="A14" s="4" t="s">
        <v>21</v>
      </c>
      <c r="B14" s="71">
        <f>Dimensionar!G7</f>
        <v>25</v>
      </c>
    </row>
    <row r="15" spans="1:13" x14ac:dyDescent="0.25">
      <c r="A15" s="4" t="s">
        <v>22</v>
      </c>
      <c r="B15" s="72">
        <f>Dimensionar!G8</f>
        <v>5500</v>
      </c>
    </row>
    <row r="16" spans="1:13" x14ac:dyDescent="0.25">
      <c r="A16" s="4" t="s">
        <v>44</v>
      </c>
      <c r="B16" s="73">
        <f>Dimensionar!G9</f>
        <v>0.03</v>
      </c>
    </row>
    <row r="17" spans="1:27" x14ac:dyDescent="0.25">
      <c r="A17" s="4" t="s">
        <v>23</v>
      </c>
      <c r="B17" s="74">
        <f>Dimensionar!G10</f>
        <v>0.04</v>
      </c>
    </row>
    <row r="18" spans="1:27" x14ac:dyDescent="0.25">
      <c r="A18" s="112" t="s">
        <v>69</v>
      </c>
      <c r="B18" s="113">
        <f>Dimensionar!G11</f>
        <v>0.09</v>
      </c>
    </row>
    <row r="19" spans="1:27" ht="15.75" thickBot="1" x14ac:dyDescent="0.3">
      <c r="A19" s="29" t="s">
        <v>24</v>
      </c>
      <c r="B19" s="75">
        <f>B9*B15</f>
        <v>27500</v>
      </c>
    </row>
    <row r="20" spans="1:27" ht="15.75" thickBot="1" x14ac:dyDescent="0.3">
      <c r="A20" s="30"/>
      <c r="B20" s="31"/>
      <c r="F20" s="1"/>
    </row>
    <row r="21" spans="1:27" x14ac:dyDescent="0.25">
      <c r="A21" s="27" t="s">
        <v>25</v>
      </c>
      <c r="B21" s="28"/>
    </row>
    <row r="22" spans="1:27" x14ac:dyDescent="0.25">
      <c r="A22" s="32" t="s">
        <v>26</v>
      </c>
      <c r="B22" s="33">
        <f>B10/B5</f>
        <v>0.77865999564933652</v>
      </c>
    </row>
    <row r="23" spans="1:27" x14ac:dyDescent="0.25">
      <c r="A23" s="32" t="s">
        <v>27</v>
      </c>
      <c r="B23" s="62">
        <f>C35</f>
        <v>5832.8700000000008</v>
      </c>
    </row>
    <row r="24" spans="1:27" x14ac:dyDescent="0.25">
      <c r="A24" s="34" t="s">
        <v>28</v>
      </c>
      <c r="B24" s="35">
        <f>SUM(C40:AA40)</f>
        <v>4.1292505505925039</v>
      </c>
    </row>
    <row r="25" spans="1:27" x14ac:dyDescent="0.25">
      <c r="A25" s="34" t="s">
        <v>29</v>
      </c>
      <c r="B25" s="36">
        <f>IRR(B37:AA37)</f>
        <v>0.29332653510436724</v>
      </c>
    </row>
    <row r="26" spans="1:27" ht="15.75" thickBot="1" x14ac:dyDescent="0.3">
      <c r="A26" s="37" t="s">
        <v>30</v>
      </c>
      <c r="B26" s="63">
        <f>NPV(B17,C37:AA37)+B37</f>
        <v>210807.94362877548</v>
      </c>
    </row>
    <row r="27" spans="1:27" ht="15.75" thickBot="1" x14ac:dyDescent="0.3"/>
    <row r="28" spans="1:27" x14ac:dyDescent="0.25">
      <c r="A28" s="38" t="s">
        <v>31</v>
      </c>
      <c r="B28" s="39">
        <v>0</v>
      </c>
      <c r="C28" s="40">
        <v>1</v>
      </c>
      <c r="D28" s="40">
        <f t="shared" ref="D28:AA28" si="0">IF(C28="","",IF(C28+1&lt;=$B14,C28+1,""))</f>
        <v>2</v>
      </c>
      <c r="E28" s="40">
        <f t="shared" si="0"/>
        <v>3</v>
      </c>
      <c r="F28" s="40">
        <f t="shared" si="0"/>
        <v>4</v>
      </c>
      <c r="G28" s="40">
        <f t="shared" si="0"/>
        <v>5</v>
      </c>
      <c r="H28" s="40">
        <f t="shared" si="0"/>
        <v>6</v>
      </c>
      <c r="I28" s="40">
        <f t="shared" si="0"/>
        <v>7</v>
      </c>
      <c r="J28" s="40">
        <f t="shared" si="0"/>
        <v>8</v>
      </c>
      <c r="K28" s="40">
        <f t="shared" si="0"/>
        <v>9</v>
      </c>
      <c r="L28" s="40">
        <f t="shared" si="0"/>
        <v>10</v>
      </c>
      <c r="M28" s="40">
        <f t="shared" si="0"/>
        <v>11</v>
      </c>
      <c r="N28" s="40">
        <f t="shared" si="0"/>
        <v>12</v>
      </c>
      <c r="O28" s="40">
        <f t="shared" si="0"/>
        <v>13</v>
      </c>
      <c r="P28" s="40">
        <f t="shared" si="0"/>
        <v>14</v>
      </c>
      <c r="Q28" s="40">
        <f t="shared" si="0"/>
        <v>15</v>
      </c>
      <c r="R28" s="40">
        <f t="shared" si="0"/>
        <v>16</v>
      </c>
      <c r="S28" s="40">
        <f t="shared" si="0"/>
        <v>17</v>
      </c>
      <c r="T28" s="40">
        <f t="shared" si="0"/>
        <v>18</v>
      </c>
      <c r="U28" s="40">
        <f t="shared" si="0"/>
        <v>19</v>
      </c>
      <c r="V28" s="40">
        <f t="shared" si="0"/>
        <v>20</v>
      </c>
      <c r="W28" s="40">
        <f t="shared" si="0"/>
        <v>21</v>
      </c>
      <c r="X28" s="40">
        <f t="shared" si="0"/>
        <v>22</v>
      </c>
      <c r="Y28" s="40">
        <f t="shared" si="0"/>
        <v>23</v>
      </c>
      <c r="Z28" s="40">
        <f t="shared" si="0"/>
        <v>24</v>
      </c>
      <c r="AA28" s="40">
        <f t="shared" si="0"/>
        <v>25</v>
      </c>
    </row>
    <row r="29" spans="1:27" x14ac:dyDescent="0.25">
      <c r="A29" s="4" t="s">
        <v>45</v>
      </c>
      <c r="B29" s="6"/>
      <c r="C29" s="41">
        <f>B10</f>
        <v>7159</v>
      </c>
      <c r="D29" s="41">
        <f>C29*(1-$B$11)</f>
        <v>7087.41</v>
      </c>
      <c r="E29" s="41">
        <f t="shared" ref="E29:AA29" si="1">D29*(1-$B$11)</f>
        <v>7016.5358999999999</v>
      </c>
      <c r="F29" s="41">
        <f t="shared" si="1"/>
        <v>6946.3705410000002</v>
      </c>
      <c r="G29" s="41">
        <f t="shared" si="1"/>
        <v>6876.9068355899999</v>
      </c>
      <c r="H29" s="41">
        <f t="shared" si="1"/>
        <v>6808.1377672340996</v>
      </c>
      <c r="I29" s="41">
        <f t="shared" si="1"/>
        <v>6740.0563895617588</v>
      </c>
      <c r="J29" s="41">
        <f t="shared" si="1"/>
        <v>6672.655825666141</v>
      </c>
      <c r="K29" s="41">
        <f t="shared" si="1"/>
        <v>6605.9292674094795</v>
      </c>
      <c r="L29" s="41">
        <f t="shared" si="1"/>
        <v>6539.8699747353849</v>
      </c>
      <c r="M29" s="41">
        <f t="shared" si="1"/>
        <v>6474.4712749880309</v>
      </c>
      <c r="N29" s="41">
        <f t="shared" si="1"/>
        <v>6409.7265622381501</v>
      </c>
      <c r="O29" s="41">
        <f t="shared" si="1"/>
        <v>6345.6292966157689</v>
      </c>
      <c r="P29" s="41">
        <f t="shared" si="1"/>
        <v>6282.173003649611</v>
      </c>
      <c r="Q29" s="41">
        <f t="shared" si="1"/>
        <v>6219.3512736131152</v>
      </c>
      <c r="R29" s="41">
        <f t="shared" si="1"/>
        <v>6157.157760876984</v>
      </c>
      <c r="S29" s="41">
        <f t="shared" si="1"/>
        <v>6095.586183268214</v>
      </c>
      <c r="T29" s="41">
        <f t="shared" si="1"/>
        <v>6034.6303214355321</v>
      </c>
      <c r="U29" s="41">
        <f t="shared" si="1"/>
        <v>5974.2840182211767</v>
      </c>
      <c r="V29" s="41">
        <f t="shared" si="1"/>
        <v>5914.541178038965</v>
      </c>
      <c r="W29" s="41">
        <f t="shared" si="1"/>
        <v>5855.3957662585753</v>
      </c>
      <c r="X29" s="41">
        <f t="shared" si="1"/>
        <v>5796.8418085959893</v>
      </c>
      <c r="Y29" s="41">
        <f t="shared" si="1"/>
        <v>5738.8733905100289</v>
      </c>
      <c r="Z29" s="41">
        <f t="shared" si="1"/>
        <v>5681.4846566049282</v>
      </c>
      <c r="AA29" s="41">
        <f t="shared" si="1"/>
        <v>5624.6698100388785</v>
      </c>
    </row>
    <row r="30" spans="1:27" x14ac:dyDescent="0.25">
      <c r="A30" s="4" t="s">
        <v>32</v>
      </c>
      <c r="B30" s="6"/>
      <c r="C30" s="42"/>
      <c r="D30" s="42">
        <f>$B$18</f>
        <v>0.09</v>
      </c>
      <c r="E30" s="42">
        <f t="shared" ref="E30:AA30" si="2">$B$18</f>
        <v>0.09</v>
      </c>
      <c r="F30" s="42">
        <f t="shared" si="2"/>
        <v>0.09</v>
      </c>
      <c r="G30" s="42">
        <f t="shared" si="2"/>
        <v>0.09</v>
      </c>
      <c r="H30" s="42">
        <f t="shared" si="2"/>
        <v>0.09</v>
      </c>
      <c r="I30" s="42">
        <f t="shared" si="2"/>
        <v>0.09</v>
      </c>
      <c r="J30" s="42">
        <f t="shared" si="2"/>
        <v>0.09</v>
      </c>
      <c r="K30" s="42">
        <f t="shared" si="2"/>
        <v>0.09</v>
      </c>
      <c r="L30" s="42">
        <f t="shared" si="2"/>
        <v>0.09</v>
      </c>
      <c r="M30" s="42">
        <f t="shared" si="2"/>
        <v>0.09</v>
      </c>
      <c r="N30" s="42">
        <f t="shared" si="2"/>
        <v>0.09</v>
      </c>
      <c r="O30" s="42">
        <f t="shared" si="2"/>
        <v>0.09</v>
      </c>
      <c r="P30" s="42">
        <f t="shared" si="2"/>
        <v>0.09</v>
      </c>
      <c r="Q30" s="42">
        <f t="shared" si="2"/>
        <v>0.09</v>
      </c>
      <c r="R30" s="42">
        <f t="shared" si="2"/>
        <v>0.09</v>
      </c>
      <c r="S30" s="42">
        <f t="shared" si="2"/>
        <v>0.09</v>
      </c>
      <c r="T30" s="42">
        <f t="shared" si="2"/>
        <v>0.09</v>
      </c>
      <c r="U30" s="42">
        <f t="shared" si="2"/>
        <v>0.09</v>
      </c>
      <c r="V30" s="42">
        <f t="shared" si="2"/>
        <v>0.09</v>
      </c>
      <c r="W30" s="42">
        <f t="shared" si="2"/>
        <v>0.09</v>
      </c>
      <c r="X30" s="42">
        <f t="shared" si="2"/>
        <v>0.09</v>
      </c>
      <c r="Y30" s="42">
        <f t="shared" si="2"/>
        <v>0.09</v>
      </c>
      <c r="Z30" s="42">
        <f t="shared" si="2"/>
        <v>0.09</v>
      </c>
      <c r="AA30" s="42">
        <f t="shared" si="2"/>
        <v>0.09</v>
      </c>
    </row>
    <row r="31" spans="1:27" x14ac:dyDescent="0.25">
      <c r="A31" s="4" t="str">
        <f>A6</f>
        <v>Tarifa de energia [R$ / kWh]</v>
      </c>
      <c r="B31" s="6"/>
      <c r="C31" s="43">
        <f>$B$6*(1+C30)</f>
        <v>0.93</v>
      </c>
      <c r="D31" s="43">
        <f t="shared" ref="D31:AA31" si="3">IF(D$28="","",C31*(1+D$30))</f>
        <v>1.0137</v>
      </c>
      <c r="E31" s="43">
        <f t="shared" si="3"/>
        <v>1.1049330000000002</v>
      </c>
      <c r="F31" s="43">
        <f t="shared" si="3"/>
        <v>1.2043769700000002</v>
      </c>
      <c r="G31" s="43">
        <f t="shared" si="3"/>
        <v>1.3127708973000003</v>
      </c>
      <c r="H31" s="43">
        <f t="shared" si="3"/>
        <v>1.4309202780570005</v>
      </c>
      <c r="I31" s="43">
        <f t="shared" si="3"/>
        <v>1.5597031030821307</v>
      </c>
      <c r="J31" s="43">
        <f t="shared" si="3"/>
        <v>1.7000763823595226</v>
      </c>
      <c r="K31" s="43">
        <f t="shared" si="3"/>
        <v>1.8530832567718798</v>
      </c>
      <c r="L31" s="43">
        <f t="shared" si="3"/>
        <v>2.019860749881349</v>
      </c>
      <c r="M31" s="43">
        <f t="shared" si="3"/>
        <v>2.2016482173706704</v>
      </c>
      <c r="N31" s="43">
        <f t="shared" si="3"/>
        <v>2.3997965569340307</v>
      </c>
      <c r="O31" s="43">
        <f t="shared" si="3"/>
        <v>2.6157782470580937</v>
      </c>
      <c r="P31" s="43">
        <f t="shared" si="3"/>
        <v>2.8511982892933223</v>
      </c>
      <c r="Q31" s="43">
        <f t="shared" si="3"/>
        <v>3.1078061353297217</v>
      </c>
      <c r="R31" s="43">
        <f t="shared" si="3"/>
        <v>3.3875086875093969</v>
      </c>
      <c r="S31" s="43">
        <f t="shared" si="3"/>
        <v>3.6923844693852428</v>
      </c>
      <c r="T31" s="43">
        <f t="shared" si="3"/>
        <v>4.0246990716299154</v>
      </c>
      <c r="U31" s="43">
        <f t="shared" si="3"/>
        <v>4.3869219880766082</v>
      </c>
      <c r="V31" s="43">
        <f t="shared" si="3"/>
        <v>4.7817449670035028</v>
      </c>
      <c r="W31" s="43">
        <f t="shared" si="3"/>
        <v>5.2121020140338183</v>
      </c>
      <c r="X31" s="43">
        <f t="shared" si="3"/>
        <v>5.6811911952968623</v>
      </c>
      <c r="Y31" s="43">
        <f t="shared" si="3"/>
        <v>6.1924984028735803</v>
      </c>
      <c r="Z31" s="43">
        <f t="shared" si="3"/>
        <v>6.7498232591322029</v>
      </c>
      <c r="AA31" s="43">
        <f t="shared" si="3"/>
        <v>7.3573073524541019</v>
      </c>
    </row>
    <row r="32" spans="1:27" x14ac:dyDescent="0.25">
      <c r="A32" s="4" t="s">
        <v>33</v>
      </c>
      <c r="B32" s="6"/>
      <c r="C32" s="41">
        <f t="shared" ref="C32:AA32" si="4">IF(C28="","",C29*C31)</f>
        <v>6657.8700000000008</v>
      </c>
      <c r="D32" s="41">
        <f t="shared" si="4"/>
        <v>7184.507517</v>
      </c>
      <c r="E32" s="41">
        <f t="shared" si="4"/>
        <v>7752.8020615947007</v>
      </c>
      <c r="F32" s="41">
        <f t="shared" si="4"/>
        <v>8366.0487046668422</v>
      </c>
      <c r="G32" s="41">
        <f t="shared" si="4"/>
        <v>9027.8031572059899</v>
      </c>
      <c r="H32" s="41">
        <f t="shared" si="4"/>
        <v>9741.9023869409848</v>
      </c>
      <c r="I32" s="41">
        <f t="shared" si="4"/>
        <v>10512.486865748016</v>
      </c>
      <c r="J32" s="41">
        <f t="shared" si="4"/>
        <v>11344.024576828686</v>
      </c>
      <c r="K32" s="41">
        <f t="shared" si="4"/>
        <v>12241.336920855836</v>
      </c>
      <c r="L32" s="41">
        <f t="shared" si="4"/>
        <v>13209.626671295533</v>
      </c>
      <c r="M32" s="41">
        <f t="shared" si="4"/>
        <v>14254.508140995011</v>
      </c>
      <c r="N32" s="41">
        <f t="shared" si="4"/>
        <v>15382.039734947713</v>
      </c>
      <c r="O32" s="41">
        <f t="shared" si="4"/>
        <v>16598.759077982078</v>
      </c>
      <c r="P32" s="41">
        <f t="shared" si="4"/>
        <v>17911.720921050462</v>
      </c>
      <c r="Q32" s="41">
        <f t="shared" si="4"/>
        <v>19328.53804590556</v>
      </c>
      <c r="R32" s="41">
        <f t="shared" si="4"/>
        <v>20857.425405336689</v>
      </c>
      <c r="S32" s="41">
        <f t="shared" si="4"/>
        <v>22507.247754898821</v>
      </c>
      <c r="T32" s="41">
        <f t="shared" si="4"/>
        <v>24287.571052311323</v>
      </c>
      <c r="U32" s="41">
        <f t="shared" si="4"/>
        <v>26208.717922549153</v>
      </c>
      <c r="V32" s="41">
        <f t="shared" si="4"/>
        <v>28281.827510222789</v>
      </c>
      <c r="W32" s="41">
        <f t="shared" si="4"/>
        <v>30518.920066281415</v>
      </c>
      <c r="X32" s="41">
        <f t="shared" si="4"/>
        <v>32932.966643524276</v>
      </c>
      <c r="Y32" s="41">
        <f t="shared" si="4"/>
        <v>35537.964305027046</v>
      </c>
      <c r="Z32" s="41">
        <f t="shared" si="4"/>
        <v>38349.017281554683</v>
      </c>
      <c r="AA32" s="41">
        <f t="shared" si="4"/>
        <v>41382.424548525654</v>
      </c>
    </row>
    <row r="33" spans="1:27" x14ac:dyDescent="0.25">
      <c r="A33" s="4" t="s">
        <v>34</v>
      </c>
      <c r="B33" s="6"/>
      <c r="C33" s="41">
        <f>-$B$19*$B$16</f>
        <v>-825</v>
      </c>
      <c r="D33" s="41">
        <f t="shared" ref="D33:AA33" si="5">IF(D28="","",C33*(1+$B$17))</f>
        <v>-858</v>
      </c>
      <c r="E33" s="41">
        <f t="shared" si="5"/>
        <v>-892.32</v>
      </c>
      <c r="F33" s="41">
        <f t="shared" si="5"/>
        <v>-928.01280000000008</v>
      </c>
      <c r="G33" s="41">
        <f t="shared" si="5"/>
        <v>-965.13331200000016</v>
      </c>
      <c r="H33" s="41">
        <f t="shared" si="5"/>
        <v>-1003.7386444800002</v>
      </c>
      <c r="I33" s="41">
        <f t="shared" si="5"/>
        <v>-1043.8881902592002</v>
      </c>
      <c r="J33" s="41">
        <f t="shared" si="5"/>
        <v>-1085.6437178695683</v>
      </c>
      <c r="K33" s="41">
        <f t="shared" si="5"/>
        <v>-1129.0694665843509</v>
      </c>
      <c r="L33" s="41">
        <f t="shared" si="5"/>
        <v>-1174.2322452477251</v>
      </c>
      <c r="M33" s="41">
        <f t="shared" si="5"/>
        <v>-1221.2015350576341</v>
      </c>
      <c r="N33" s="41">
        <f t="shared" si="5"/>
        <v>-1270.0495964599395</v>
      </c>
      <c r="O33" s="41">
        <f t="shared" si="5"/>
        <v>-1320.851580318337</v>
      </c>
      <c r="P33" s="41">
        <f t="shared" si="5"/>
        <v>-1373.6856435310706</v>
      </c>
      <c r="Q33" s="41">
        <f t="shared" si="5"/>
        <v>-1428.6330692723134</v>
      </c>
      <c r="R33" s="41">
        <f t="shared" si="5"/>
        <v>-1485.7783920432059</v>
      </c>
      <c r="S33" s="41">
        <f t="shared" si="5"/>
        <v>-1545.2095277249343</v>
      </c>
      <c r="T33" s="41">
        <f t="shared" si="5"/>
        <v>-1607.0179088339319</v>
      </c>
      <c r="U33" s="41">
        <f t="shared" si="5"/>
        <v>-1671.2986251872892</v>
      </c>
      <c r="V33" s="41">
        <f t="shared" si="5"/>
        <v>-1738.1505701947808</v>
      </c>
      <c r="W33" s="41">
        <f t="shared" si="5"/>
        <v>-1807.6765930025722</v>
      </c>
      <c r="X33" s="41">
        <f t="shared" si="5"/>
        <v>-1879.9836567226751</v>
      </c>
      <c r="Y33" s="41">
        <f t="shared" si="5"/>
        <v>-1955.183002991582</v>
      </c>
      <c r="Z33" s="41">
        <f t="shared" si="5"/>
        <v>-2033.3903231112454</v>
      </c>
      <c r="AA33" s="41">
        <f t="shared" si="5"/>
        <v>-2114.7259360356952</v>
      </c>
    </row>
    <row r="34" spans="1:27" x14ac:dyDescent="0.25">
      <c r="A34" s="4"/>
      <c r="B34" s="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x14ac:dyDescent="0.25">
      <c r="A35" s="4" t="s">
        <v>35</v>
      </c>
      <c r="B35" s="6"/>
      <c r="C35" s="41">
        <f t="shared" ref="C35:AA35" si="6">IF(C28="","",SUM(C32:C33))</f>
        <v>5832.8700000000008</v>
      </c>
      <c r="D35" s="41">
        <f t="shared" si="6"/>
        <v>6326.507517</v>
      </c>
      <c r="E35" s="41">
        <f t="shared" si="6"/>
        <v>6860.482061594701</v>
      </c>
      <c r="F35" s="41">
        <f t="shared" si="6"/>
        <v>7438.0359046668418</v>
      </c>
      <c r="G35" s="41">
        <f t="shared" si="6"/>
        <v>8062.66984520599</v>
      </c>
      <c r="H35" s="41">
        <f t="shared" si="6"/>
        <v>8738.1637424609853</v>
      </c>
      <c r="I35" s="41">
        <f t="shared" si="6"/>
        <v>9468.5986754888163</v>
      </c>
      <c r="J35" s="41">
        <f t="shared" si="6"/>
        <v>10258.380858959117</v>
      </c>
      <c r="K35" s="41">
        <f t="shared" si="6"/>
        <v>11112.267454271485</v>
      </c>
      <c r="L35" s="41">
        <f t="shared" si="6"/>
        <v>12035.394426047807</v>
      </c>
      <c r="M35" s="41">
        <f t="shared" si="6"/>
        <v>13033.306605937376</v>
      </c>
      <c r="N35" s="41">
        <f t="shared" si="6"/>
        <v>14111.990138487774</v>
      </c>
      <c r="O35" s="41">
        <f t="shared" si="6"/>
        <v>15277.907497663742</v>
      </c>
      <c r="P35" s="41">
        <f t="shared" si="6"/>
        <v>16538.035277519393</v>
      </c>
      <c r="Q35" s="41">
        <f t="shared" si="6"/>
        <v>17899.904976633246</v>
      </c>
      <c r="R35" s="41">
        <f t="shared" si="6"/>
        <v>19371.647013293485</v>
      </c>
      <c r="S35" s="41">
        <f t="shared" si="6"/>
        <v>20962.038227173885</v>
      </c>
      <c r="T35" s="41">
        <f t="shared" si="6"/>
        <v>22680.553143477391</v>
      </c>
      <c r="U35" s="41">
        <f t="shared" si="6"/>
        <v>24537.419297361863</v>
      </c>
      <c r="V35" s="41">
        <f t="shared" si="6"/>
        <v>26543.67694002801</v>
      </c>
      <c r="W35" s="41">
        <f t="shared" si="6"/>
        <v>28711.243473278842</v>
      </c>
      <c r="X35" s="41">
        <f t="shared" si="6"/>
        <v>31052.982986801602</v>
      </c>
      <c r="Y35" s="41">
        <f t="shared" si="6"/>
        <v>33582.781302035466</v>
      </c>
      <c r="Z35" s="41">
        <f t="shared" si="6"/>
        <v>36315.626958443434</v>
      </c>
      <c r="AA35" s="41">
        <f t="shared" si="6"/>
        <v>39267.698612489956</v>
      </c>
    </row>
    <row r="36" spans="1:27" x14ac:dyDescent="0.25">
      <c r="A36" s="4" t="s">
        <v>36</v>
      </c>
      <c r="B36" s="44">
        <f>-B19</f>
        <v>-27500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4" t="s">
        <v>37</v>
      </c>
      <c r="B37" s="41">
        <f t="shared" ref="B37:AA37" si="7">IF(B28="","",SUM(B35:B36))</f>
        <v>-27500</v>
      </c>
      <c r="C37" s="41">
        <f t="shared" si="7"/>
        <v>5832.8700000000008</v>
      </c>
      <c r="D37" s="41">
        <f t="shared" si="7"/>
        <v>6326.507517</v>
      </c>
      <c r="E37" s="41">
        <f t="shared" si="7"/>
        <v>6860.482061594701</v>
      </c>
      <c r="F37" s="41">
        <f t="shared" si="7"/>
        <v>7438.0359046668418</v>
      </c>
      <c r="G37" s="41">
        <f t="shared" si="7"/>
        <v>8062.66984520599</v>
      </c>
      <c r="H37" s="41">
        <f t="shared" si="7"/>
        <v>8738.1637424609853</v>
      </c>
      <c r="I37" s="41">
        <f t="shared" si="7"/>
        <v>9468.5986754888163</v>
      </c>
      <c r="J37" s="41">
        <f t="shared" si="7"/>
        <v>10258.380858959117</v>
      </c>
      <c r="K37" s="41">
        <f t="shared" si="7"/>
        <v>11112.267454271485</v>
      </c>
      <c r="L37" s="41">
        <f t="shared" si="7"/>
        <v>12035.394426047807</v>
      </c>
      <c r="M37" s="41">
        <f t="shared" si="7"/>
        <v>13033.306605937376</v>
      </c>
      <c r="N37" s="41">
        <f t="shared" si="7"/>
        <v>14111.990138487774</v>
      </c>
      <c r="O37" s="41">
        <f t="shared" si="7"/>
        <v>15277.907497663742</v>
      </c>
      <c r="P37" s="41">
        <f t="shared" si="7"/>
        <v>16538.035277519393</v>
      </c>
      <c r="Q37" s="41">
        <f t="shared" si="7"/>
        <v>17899.904976633246</v>
      </c>
      <c r="R37" s="41">
        <f t="shared" si="7"/>
        <v>19371.647013293485</v>
      </c>
      <c r="S37" s="41">
        <f t="shared" si="7"/>
        <v>20962.038227173885</v>
      </c>
      <c r="T37" s="41">
        <f t="shared" si="7"/>
        <v>22680.553143477391</v>
      </c>
      <c r="U37" s="41">
        <f t="shared" si="7"/>
        <v>24537.419297361863</v>
      </c>
      <c r="V37" s="41">
        <f t="shared" si="7"/>
        <v>26543.67694002801</v>
      </c>
      <c r="W37" s="41">
        <f t="shared" si="7"/>
        <v>28711.243473278842</v>
      </c>
      <c r="X37" s="41">
        <f t="shared" si="7"/>
        <v>31052.982986801602</v>
      </c>
      <c r="Y37" s="41">
        <f t="shared" si="7"/>
        <v>33582.781302035466</v>
      </c>
      <c r="Z37" s="41">
        <f t="shared" si="7"/>
        <v>36315.626958443434</v>
      </c>
      <c r="AA37" s="41">
        <f t="shared" si="7"/>
        <v>39267.698612489956</v>
      </c>
    </row>
    <row r="38" spans="1:27" ht="15.75" thickBot="1" x14ac:dyDescent="0.3">
      <c r="A38" s="29" t="s">
        <v>38</v>
      </c>
      <c r="B38" s="45">
        <f>B37</f>
        <v>-27500</v>
      </c>
      <c r="C38" s="45">
        <f t="shared" ref="C38:AA38" si="8">IF(C28="","",B38+C37)</f>
        <v>-21667.129999999997</v>
      </c>
      <c r="D38" s="45">
        <f t="shared" si="8"/>
        <v>-15340.622482999997</v>
      </c>
      <c r="E38" s="45">
        <f t="shared" si="8"/>
        <v>-8480.1404214052964</v>
      </c>
      <c r="F38" s="45">
        <f t="shared" si="8"/>
        <v>-1042.1045167384545</v>
      </c>
      <c r="G38" s="45">
        <f t="shared" si="8"/>
        <v>7020.5653284675354</v>
      </c>
      <c r="H38" s="45">
        <f t="shared" si="8"/>
        <v>15758.729070928521</v>
      </c>
      <c r="I38" s="45">
        <f t="shared" si="8"/>
        <v>25227.327746417337</v>
      </c>
      <c r="J38" s="45">
        <f t="shared" si="8"/>
        <v>35485.708605376451</v>
      </c>
      <c r="K38" s="45">
        <f t="shared" si="8"/>
        <v>46597.976059647932</v>
      </c>
      <c r="L38" s="45">
        <f t="shared" si="8"/>
        <v>58633.370485695741</v>
      </c>
      <c r="M38" s="45">
        <f t="shared" si="8"/>
        <v>71666.677091633115</v>
      </c>
      <c r="N38" s="45">
        <f t="shared" si="8"/>
        <v>85778.667230120889</v>
      </c>
      <c r="O38" s="45">
        <f t="shared" si="8"/>
        <v>101056.57472778464</v>
      </c>
      <c r="P38" s="45">
        <f t="shared" si="8"/>
        <v>117594.61000530403</v>
      </c>
      <c r="Q38" s="45">
        <f t="shared" si="8"/>
        <v>135494.51498193727</v>
      </c>
      <c r="R38" s="45">
        <f t="shared" si="8"/>
        <v>154866.16199523077</v>
      </c>
      <c r="S38" s="45">
        <f t="shared" si="8"/>
        <v>175828.20022240464</v>
      </c>
      <c r="T38" s="45">
        <f t="shared" si="8"/>
        <v>198508.75336588203</v>
      </c>
      <c r="U38" s="45">
        <f t="shared" si="8"/>
        <v>223046.17266324389</v>
      </c>
      <c r="V38" s="45">
        <f t="shared" si="8"/>
        <v>249589.8496032719</v>
      </c>
      <c r="W38" s="45">
        <f t="shared" si="8"/>
        <v>278301.09307655075</v>
      </c>
      <c r="X38" s="45">
        <f t="shared" si="8"/>
        <v>309354.07606335235</v>
      </c>
      <c r="Y38" s="45">
        <f t="shared" si="8"/>
        <v>342936.85736538784</v>
      </c>
      <c r="Z38" s="45">
        <f t="shared" si="8"/>
        <v>379252.48432383128</v>
      </c>
      <c r="AA38" s="45">
        <f t="shared" si="8"/>
        <v>418520.18293632125</v>
      </c>
    </row>
    <row r="39" spans="1:27" x14ac:dyDescent="0.25">
      <c r="B39"/>
    </row>
    <row r="40" spans="1:27" s="79" customFormat="1" ht="12.75" x14ac:dyDescent="0.2">
      <c r="A40" s="79" t="s">
        <v>56</v>
      </c>
      <c r="C40" s="80">
        <f>IF(AND(A38&gt;=0,C38&gt;=0),0,IF(AND(C38&gt;=0,A38&lt;0),1-C38/(C38-A38),1))</f>
        <v>1</v>
      </c>
      <c r="D40" s="80">
        <f>IF(AND(C38&gt;=0,D38&gt;=0),0,IF(AND(D38&gt;=0,C38&lt;0),1-D38/(D38-C38),1))</f>
        <v>1</v>
      </c>
      <c r="E40" s="80">
        <f t="shared" ref="E40:AA40" si="9">IF(AND(D38&gt;=0,E38&gt;=0),0,IF(AND(E38&gt;=0,D38&lt;0),1-E38/(E38-D38),1))</f>
        <v>1</v>
      </c>
      <c r="F40" s="80">
        <f t="shared" si="9"/>
        <v>1</v>
      </c>
      <c r="G40" s="80">
        <f t="shared" si="9"/>
        <v>0.12925055059250412</v>
      </c>
      <c r="H40" s="80">
        <f t="shared" si="9"/>
        <v>0</v>
      </c>
      <c r="I40" s="80">
        <f t="shared" si="9"/>
        <v>0</v>
      </c>
      <c r="J40" s="80">
        <f t="shared" si="9"/>
        <v>0</v>
      </c>
      <c r="K40" s="80">
        <f t="shared" si="9"/>
        <v>0</v>
      </c>
      <c r="L40" s="80">
        <f t="shared" si="9"/>
        <v>0</v>
      </c>
      <c r="M40" s="80">
        <f t="shared" si="9"/>
        <v>0</v>
      </c>
      <c r="N40" s="80">
        <f t="shared" si="9"/>
        <v>0</v>
      </c>
      <c r="O40" s="80">
        <f t="shared" si="9"/>
        <v>0</v>
      </c>
      <c r="P40" s="80">
        <f t="shared" si="9"/>
        <v>0</v>
      </c>
      <c r="Q40" s="80">
        <f t="shared" si="9"/>
        <v>0</v>
      </c>
      <c r="R40" s="80">
        <f t="shared" si="9"/>
        <v>0</v>
      </c>
      <c r="S40" s="80">
        <f t="shared" si="9"/>
        <v>0</v>
      </c>
      <c r="T40" s="80">
        <f t="shared" si="9"/>
        <v>0</v>
      </c>
      <c r="U40" s="80">
        <f t="shared" si="9"/>
        <v>0</v>
      </c>
      <c r="V40" s="80">
        <f t="shared" si="9"/>
        <v>0</v>
      </c>
      <c r="W40" s="80">
        <f>IF(AND(V38&gt;=0,W38&gt;=0),0,IF(AND(W38&gt;=0,V38&lt;0),1-W38/(W38-V38),1))</f>
        <v>0</v>
      </c>
      <c r="X40" s="80">
        <f t="shared" si="9"/>
        <v>0</v>
      </c>
      <c r="Y40" s="80">
        <f t="shared" si="9"/>
        <v>0</v>
      </c>
      <c r="Z40" s="80">
        <f t="shared" si="9"/>
        <v>0</v>
      </c>
      <c r="AA40" s="80">
        <f t="shared" si="9"/>
        <v>0</v>
      </c>
    </row>
  </sheetData>
  <pageMargins left="0.51181102362204722" right="0.51181102362204722" top="0.78740157480314965" bottom="0.78740157480314965" header="0.31496062992125984" footer="0.31496062992125984"/>
  <pageSetup paperSize="9" scale="84" orientation="landscape" r:id="rId1"/>
  <headerFooter>
    <oddFooter>&amp;L&amp;F&amp;C&amp;A&amp;R&amp;D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Dimensionar</vt:lpstr>
      <vt:lpstr>Fluxo de caixa</vt:lpstr>
      <vt:lpstr>Dimensionar!Area_de_impressao</vt:lpstr>
      <vt:lpstr>'Fluxo de caixa'!Area_de_impressao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Rauschmayer</dc:creator>
  <cp:lastModifiedBy>Hans Rauschmayer</cp:lastModifiedBy>
  <cp:lastPrinted>2018-05-04T10:03:45Z</cp:lastPrinted>
  <dcterms:created xsi:type="dcterms:W3CDTF">2014-05-03T14:19:01Z</dcterms:created>
  <dcterms:modified xsi:type="dcterms:W3CDTF">2018-06-08T22:06:05Z</dcterms:modified>
</cp:coreProperties>
</file>