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terial\ANEEL\Lei 14300-22\"/>
    </mc:Choice>
  </mc:AlternateContent>
  <xr:revisionPtr revIDLastSave="0" documentId="13_ncr:1_{C5597C35-070A-4242-B2B4-AF323F47D1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turamento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4" i="1" l="1"/>
  <c r="L55" i="1"/>
  <c r="L56" i="1"/>
  <c r="L57" i="1"/>
  <c r="L58" i="1"/>
  <c r="L59" i="1"/>
  <c r="L60" i="1"/>
  <c r="L61" i="1"/>
  <c r="L53" i="1"/>
  <c r="K53" i="1"/>
  <c r="B37" i="1"/>
  <c r="B38" i="1" s="1"/>
  <c r="B42" i="1"/>
  <c r="B45" i="1" s="1"/>
  <c r="B47" i="1" s="1"/>
  <c r="B16" i="1"/>
  <c r="C29" i="1" s="1"/>
  <c r="D29" i="1" s="1"/>
  <c r="B43" i="1" l="1"/>
  <c r="C28" i="1"/>
  <c r="D28" i="1" s="1"/>
  <c r="C27" i="1"/>
  <c r="D27" i="1" s="1"/>
  <c r="C25" i="1"/>
  <c r="D25" i="1" s="1"/>
  <c r="C24" i="1"/>
  <c r="D24" i="1" s="1"/>
  <c r="C26" i="1"/>
  <c r="D26" i="1" s="1"/>
  <c r="C22" i="1"/>
  <c r="D22" i="1" s="1"/>
  <c r="C23" i="1"/>
  <c r="D23" i="1" s="1"/>
  <c r="C30" i="1"/>
  <c r="D30" i="1" s="1"/>
  <c r="B61" i="1" l="1"/>
  <c r="C61" i="1" s="1"/>
  <c r="B60" i="1"/>
  <c r="C60" i="1" s="1"/>
  <c r="B55" i="1"/>
  <c r="C55" i="1" s="1"/>
  <c r="B53" i="1"/>
  <c r="B59" i="1"/>
  <c r="C59" i="1" s="1"/>
  <c r="B54" i="1"/>
  <c r="C54" i="1" s="1"/>
  <c r="B56" i="1"/>
  <c r="C56" i="1" s="1"/>
  <c r="B58" i="1"/>
  <c r="C58" i="1" s="1"/>
  <c r="B57" i="1"/>
  <c r="C57" i="1" s="1"/>
  <c r="B48" i="1"/>
  <c r="B49" i="1" s="1"/>
  <c r="D54" i="1" l="1"/>
  <c r="D58" i="1"/>
  <c r="D55" i="1"/>
  <c r="D59" i="1"/>
  <c r="D61" i="1"/>
  <c r="D56" i="1"/>
  <c r="D60" i="1"/>
  <c r="D57" i="1"/>
  <c r="D53" i="1"/>
  <c r="E59" i="1" l="1"/>
  <c r="F59" i="1" s="1"/>
  <c r="G59" i="1" s="1"/>
  <c r="H59" i="1" s="1"/>
  <c r="E55" i="1"/>
  <c r="F55" i="1" s="1"/>
  <c r="G55" i="1" s="1"/>
  <c r="H55" i="1" s="1"/>
  <c r="E58" i="1"/>
  <c r="F58" i="1" s="1"/>
  <c r="G58" i="1" s="1"/>
  <c r="H58" i="1" s="1"/>
  <c r="E54" i="1"/>
  <c r="F54" i="1" s="1"/>
  <c r="G54" i="1" s="1"/>
  <c r="H54" i="1" s="1"/>
  <c r="E57" i="1"/>
  <c r="F57" i="1" s="1"/>
  <c r="G57" i="1" s="1"/>
  <c r="H57" i="1" s="1"/>
  <c r="E60" i="1"/>
  <c r="F60" i="1" s="1"/>
  <c r="G60" i="1" s="1"/>
  <c r="H60" i="1" s="1"/>
  <c r="E56" i="1"/>
  <c r="F56" i="1" s="1"/>
  <c r="G56" i="1" s="1"/>
  <c r="H56" i="1" s="1"/>
  <c r="E61" i="1"/>
  <c r="F61" i="1" s="1"/>
  <c r="G61" i="1" s="1"/>
  <c r="H61" i="1" s="1"/>
  <c r="E53" i="1"/>
  <c r="C53" i="1"/>
  <c r="J57" i="1" l="1"/>
  <c r="I57" i="1"/>
  <c r="K57" i="1" s="1"/>
  <c r="I54" i="1"/>
  <c r="K54" i="1" s="1"/>
  <c r="J54" i="1"/>
  <c r="J56" i="1"/>
  <c r="I56" i="1"/>
  <c r="K56" i="1" s="1"/>
  <c r="I59" i="1"/>
  <c r="K59" i="1" s="1"/>
  <c r="J59" i="1"/>
  <c r="J58" i="1"/>
  <c r="I58" i="1"/>
  <c r="K58" i="1" s="1"/>
  <c r="J60" i="1"/>
  <c r="I60" i="1"/>
  <c r="K60" i="1" s="1"/>
  <c r="I55" i="1"/>
  <c r="K55" i="1" s="1"/>
  <c r="J55" i="1"/>
  <c r="J61" i="1"/>
  <c r="I61" i="1"/>
  <c r="K61" i="1" s="1"/>
  <c r="F53" i="1"/>
  <c r="G53" i="1" s="1"/>
  <c r="H53" i="1" s="1"/>
  <c r="J53" i="1" l="1"/>
  <c r="I5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 Rauschmayer</author>
  </authors>
  <commentList>
    <comment ref="L52" authorId="0" shapeId="0" xr:uid="{92E79918-C0C8-4E19-A414-930AB1B1E09D}">
      <text>
        <r>
          <rPr>
            <b/>
            <sz val="9"/>
            <color indexed="81"/>
            <rFont val="Segoe UI"/>
            <family val="2"/>
          </rPr>
          <t>Hans Rauschmayer:</t>
        </r>
        <r>
          <rPr>
            <sz val="9"/>
            <color indexed="81"/>
            <rFont val="Segoe UI"/>
            <family val="2"/>
          </rPr>
          <t xml:space="preserve">
corretamente, o crédito vira benefício futuro, com valor menor</t>
        </r>
      </text>
    </comment>
  </commentList>
</comments>
</file>

<file path=xl/sharedStrings.xml><?xml version="1.0" encoding="utf-8"?>
<sst xmlns="http://schemas.openxmlformats.org/spreadsheetml/2006/main" count="76" uniqueCount="70">
  <si>
    <t>PIS</t>
  </si>
  <si>
    <t>COFINS</t>
  </si>
  <si>
    <t>Light</t>
  </si>
  <si>
    <t>ICMS</t>
  </si>
  <si>
    <t>Concessionária</t>
  </si>
  <si>
    <t>Mês da consulta</t>
  </si>
  <si>
    <t>Subgrupo</t>
  </si>
  <si>
    <t>Modalidade</t>
  </si>
  <si>
    <t>B1</t>
  </si>
  <si>
    <t>Convencional</t>
  </si>
  <si>
    <t>Subclasse</t>
  </si>
  <si>
    <t>Residencial</t>
  </si>
  <si>
    <t>Consulta na plataforma da Aneel / NT 237</t>
  </si>
  <si>
    <t>Fator de simultaneidade</t>
  </si>
  <si>
    <t>Percentual</t>
  </si>
  <si>
    <t>Consulte a conta recente</t>
  </si>
  <si>
    <t>* a tarifa de 2031 deve ser substituída pela definitiva quando for publicada pela Aneel</t>
  </si>
  <si>
    <t>TUSD_FioB [R$/MWh]</t>
  </si>
  <si>
    <t>Ano</t>
  </si>
  <si>
    <t>TUSD_FioB incl. impostos [R$/MWh]</t>
  </si>
  <si>
    <t>Número de fases</t>
  </si>
  <si>
    <t>Projeto analisado [kWh / mês]</t>
  </si>
  <si>
    <t>Tarifa de consumo [R$ / kWh]</t>
  </si>
  <si>
    <t>Energia disponível para compensação</t>
  </si>
  <si>
    <t>Estimativa do projeto fotovoltaico</t>
  </si>
  <si>
    <t>Estimado ou calculado com PV*SOL</t>
  </si>
  <si>
    <t>Conforme conta antes do sistema solar</t>
  </si>
  <si>
    <t>Após instalação do sistema</t>
  </si>
  <si>
    <t>Energia disponível crédito ou comp. remota</t>
  </si>
  <si>
    <t>Tarifa crescente da energia compensada</t>
  </si>
  <si>
    <t>TUSD da energia injetada</t>
  </si>
  <si>
    <t>TUSD incl. impostos sobre energia injetada</t>
  </si>
  <si>
    <t>Veja conta do cliente</t>
  </si>
  <si>
    <t>Consumo total no local (3)</t>
  </si>
  <si>
    <t>Autoconsumo (2)</t>
  </si>
  <si>
    <t>Energia gerada (1)</t>
  </si>
  <si>
    <t>Energia injetada (4)</t>
  </si>
  <si>
    <t>Consumo medido (5)</t>
  </si>
  <si>
    <t>Resultado da consulta: copie o valor da tabela para cá</t>
  </si>
  <si>
    <t>anote sua seleção na plataforma para poder verificar futuramente</t>
  </si>
  <si>
    <t>idem</t>
  </si>
  <si>
    <t>Pode haver isenção em certos estados</t>
  </si>
  <si>
    <t>Compensação para o mesmo titular é isento de PIS e COFINS (lei 13169 Art. 8)</t>
  </si>
  <si>
    <t>Custo de disponibilidade [kWh]</t>
  </si>
  <si>
    <t>Valor do CDD [R$]</t>
  </si>
  <si>
    <t>Valor restante [R$/kWh]</t>
  </si>
  <si>
    <t>Consumo medido [kWh]</t>
  </si>
  <si>
    <t>Total [R$]</t>
  </si>
  <si>
    <t>Diferença para CDD [R$]</t>
  </si>
  <si>
    <t>... em kWh: crédito novo</t>
  </si>
  <si>
    <t>Valor faturado [R$]</t>
  </si>
  <si>
    <t>Benefício do sistema fv imediato [R$]</t>
  </si>
  <si>
    <t xml:space="preserve">Importante: o Custo de Disponibilidade não entra no cálculo custo/benefício do sistema fv. Ele é um custo fixo mensal da ligação elétrica. </t>
  </si>
  <si>
    <t>... valor [R$]</t>
  </si>
  <si>
    <t>TUSD Fio B [R$/kWh]</t>
  </si>
  <si>
    <t>* Para projetos protocolados a partir de 08/07/23: a tarifa definitiva vale a partir de 2029</t>
  </si>
  <si>
    <t>... limitada pelo consumo medido</t>
  </si>
  <si>
    <t>Crédito para futuro</t>
  </si>
  <si>
    <t>Benefício:</t>
  </si>
  <si>
    <t>* Imediato (no mesmo mês): a energia realmente compensada multiplicada com a tarifa restante</t>
  </si>
  <si>
    <t>Preencha ou verifique os campos em azul</t>
  </si>
  <si>
    <t>Campos cinzas mostram resultados intermediários</t>
  </si>
  <si>
    <t>Varie campos em rocho para experimentar</t>
  </si>
  <si>
    <t>Campos verdes mostram resultados principais</t>
  </si>
  <si>
    <t>Benefício incl. crédito [cuidado*] [R$]</t>
  </si>
  <si>
    <t>* O crédito acumulado só pode ser aproveitado até o limite do consumo do mês. Portanto não adianta gerar mais energia do que a média mensal</t>
  </si>
  <si>
    <t>Energia disponível para comp. [kWh]</t>
  </si>
  <si>
    <t>Energia realmente compensada</t>
  </si>
  <si>
    <t>Faturamento do mês analisado</t>
  </si>
  <si>
    <t>Faturamento da energia conforme REN Aneel 1059/2023 (sem considerar demanda de injeção)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</si>
</sst>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92CDDC"/>
        <bgColor rgb="FF92CDDC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77">
    <xf numFmtId="0" fontId="0" fillId="0" borderId="0" xfId="0"/>
    <xf numFmtId="17" fontId="0" fillId="0" borderId="0" xfId="0" applyNumberFormat="1"/>
    <xf numFmtId="11" fontId="0" fillId="0" borderId="0" xfId="0" applyNumberFormat="1" applyAlignment="1">
      <alignment vertical="top" wrapText="1"/>
    </xf>
    <xf numFmtId="0" fontId="3" fillId="2" borderId="1" xfId="1" applyFont="1" applyFill="1" applyBorder="1" applyAlignment="1">
      <alignment vertical="center"/>
    </xf>
    <xf numFmtId="0" fontId="2" fillId="2" borderId="2" xfId="1" applyFill="1" applyBorder="1" applyAlignment="1">
      <alignment vertical="center"/>
    </xf>
    <xf numFmtId="0" fontId="2" fillId="2" borderId="3" xfId="1" applyFill="1" applyBorder="1" applyAlignment="1">
      <alignment vertical="center"/>
    </xf>
    <xf numFmtId="0" fontId="2" fillId="0" borderId="0" xfId="1" applyAlignment="1">
      <alignment vertical="center"/>
    </xf>
    <xf numFmtId="0" fontId="2" fillId="0" borderId="0" xfId="1"/>
    <xf numFmtId="0" fontId="1" fillId="5" borderId="7" xfId="0" applyFont="1" applyFill="1" applyBorder="1"/>
    <xf numFmtId="11" fontId="0" fillId="5" borderId="5" xfId="0" applyNumberFormat="1" applyFill="1" applyBorder="1" applyAlignment="1">
      <alignment vertical="top" wrapText="1"/>
    </xf>
    <xf numFmtId="0" fontId="2" fillId="2" borderId="2" xfId="1" applyFill="1" applyBorder="1" applyAlignment="1">
      <alignment horizontal="right" vertical="center"/>
    </xf>
    <xf numFmtId="0" fontId="0" fillId="0" borderId="0" xfId="0" applyAlignment="1">
      <alignment horizontal="right"/>
    </xf>
    <xf numFmtId="17" fontId="0" fillId="4" borderId="6" xfId="0" applyNumberFormat="1" applyFill="1" applyBorder="1" applyAlignment="1">
      <alignment horizontal="right"/>
    </xf>
    <xf numFmtId="10" fontId="0" fillId="4" borderId="6" xfId="0" applyNumberFormat="1" applyFill="1" applyBorder="1" applyAlignment="1">
      <alignment horizontal="right"/>
    </xf>
    <xf numFmtId="0" fontId="0" fillId="5" borderId="5" xfId="0" applyFill="1" applyBorder="1"/>
    <xf numFmtId="0" fontId="0" fillId="5" borderId="7" xfId="0" applyFill="1" applyBorder="1"/>
    <xf numFmtId="0" fontId="5" fillId="5" borderId="11" xfId="0" applyFont="1" applyFill="1" applyBorder="1"/>
    <xf numFmtId="9" fontId="0" fillId="4" borderId="4" xfId="0" applyNumberFormat="1" applyFill="1" applyBorder="1" applyAlignment="1">
      <alignment horizontal="right"/>
    </xf>
    <xf numFmtId="20" fontId="2" fillId="3" borderId="6" xfId="1" applyNumberFormat="1" applyFill="1" applyBorder="1" applyAlignment="1">
      <alignment horizontal="right"/>
    </xf>
    <xf numFmtId="0" fontId="1" fillId="5" borderId="14" xfId="0" applyFont="1" applyFill="1" applyBorder="1" applyAlignment="1">
      <alignment horizontal="right"/>
    </xf>
    <xf numFmtId="11" fontId="0" fillId="5" borderId="15" xfId="0" applyNumberFormat="1" applyFill="1" applyBorder="1" applyAlignment="1">
      <alignment vertical="top" wrapText="1"/>
    </xf>
    <xf numFmtId="9" fontId="0" fillId="5" borderId="13" xfId="0" applyNumberFormat="1" applyFill="1" applyBorder="1" applyAlignment="1">
      <alignment horizontal="right"/>
    </xf>
    <xf numFmtId="2" fontId="1" fillId="6" borderId="9" xfId="0" applyNumberFormat="1" applyFont="1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0" fontId="0" fillId="5" borderId="6" xfId="0" applyFill="1" applyBorder="1"/>
    <xf numFmtId="9" fontId="0" fillId="4" borderId="8" xfId="0" applyNumberFormat="1" applyFill="1" applyBorder="1" applyAlignment="1">
      <alignment horizontal="right"/>
    </xf>
    <xf numFmtId="17" fontId="6" fillId="0" borderId="0" xfId="0" applyNumberFormat="1" applyFont="1"/>
    <xf numFmtId="0" fontId="8" fillId="7" borderId="1" xfId="0" applyFont="1" applyFill="1" applyBorder="1"/>
    <xf numFmtId="0" fontId="8" fillId="7" borderId="2" xfId="0" applyFont="1" applyFill="1" applyBorder="1"/>
    <xf numFmtId="0" fontId="8" fillId="7" borderId="3" xfId="0" applyFont="1" applyFill="1" applyBorder="1"/>
    <xf numFmtId="2" fontId="1" fillId="4" borderId="9" xfId="0" applyNumberFormat="1" applyFont="1" applyFill="1" applyBorder="1" applyAlignment="1">
      <alignment horizontal="right"/>
    </xf>
    <xf numFmtId="11" fontId="1" fillId="5" borderId="7" xfId="0" applyNumberFormat="1" applyFont="1" applyFill="1" applyBorder="1" applyAlignment="1">
      <alignment vertical="top" wrapText="1"/>
    </xf>
    <xf numFmtId="1" fontId="1" fillId="0" borderId="0" xfId="0" applyNumberFormat="1" applyFont="1" applyAlignment="1">
      <alignment horizontal="right"/>
    </xf>
    <xf numFmtId="0" fontId="1" fillId="5" borderId="17" xfId="0" applyFont="1" applyFill="1" applyBorder="1" applyAlignment="1">
      <alignment horizontal="right"/>
    </xf>
    <xf numFmtId="1" fontId="1" fillId="6" borderId="6" xfId="0" applyNumberFormat="1" applyFont="1" applyFill="1" applyBorder="1" applyAlignment="1">
      <alignment horizontal="right"/>
    </xf>
    <xf numFmtId="0" fontId="1" fillId="5" borderId="5" xfId="0" applyFont="1" applyFill="1" applyBorder="1"/>
    <xf numFmtId="0" fontId="8" fillId="7" borderId="10" xfId="0" applyFont="1" applyFill="1" applyBorder="1"/>
    <xf numFmtId="0" fontId="8" fillId="7" borderId="12" xfId="0" applyFont="1" applyFill="1" applyBorder="1"/>
    <xf numFmtId="0" fontId="0" fillId="0" borderId="0" xfId="0" applyAlignment="1">
      <alignment vertical="top" wrapText="1"/>
    </xf>
    <xf numFmtId="0" fontId="1" fillId="5" borderId="18" xfId="0" applyFont="1" applyFill="1" applyBorder="1"/>
    <xf numFmtId="0" fontId="8" fillId="7" borderId="21" xfId="0" applyFont="1" applyFill="1" applyBorder="1"/>
    <xf numFmtId="0" fontId="1" fillId="5" borderId="19" xfId="0" applyFont="1" applyFill="1" applyBorder="1" applyAlignment="1">
      <alignment horizontal="right" vertical="top" wrapText="1"/>
    </xf>
    <xf numFmtId="0" fontId="5" fillId="5" borderId="11" xfId="0" applyFont="1" applyFill="1" applyBorder="1" applyAlignment="1">
      <alignment horizontal="right" vertical="top" wrapText="1"/>
    </xf>
    <xf numFmtId="0" fontId="0" fillId="5" borderId="22" xfId="0" applyFill="1" applyBorder="1"/>
    <xf numFmtId="0" fontId="0" fillId="5" borderId="23" xfId="0" applyFill="1" applyBorder="1"/>
    <xf numFmtId="0" fontId="1" fillId="5" borderId="18" xfId="0" applyFont="1" applyFill="1" applyBorder="1" applyAlignment="1">
      <alignment horizontal="right" vertical="top" wrapText="1"/>
    </xf>
    <xf numFmtId="1" fontId="0" fillId="5" borderId="5" xfId="0" applyNumberFormat="1" applyFill="1" applyBorder="1"/>
    <xf numFmtId="2" fontId="0" fillId="5" borderId="6" xfId="0" applyNumberFormat="1" applyFill="1" applyBorder="1"/>
    <xf numFmtId="1" fontId="0" fillId="5" borderId="7" xfId="0" applyNumberFormat="1" applyFill="1" applyBorder="1"/>
    <xf numFmtId="2" fontId="0" fillId="5" borderId="9" xfId="0" applyNumberFormat="1" applyFill="1" applyBorder="1"/>
    <xf numFmtId="0" fontId="1" fillId="5" borderId="14" xfId="0" applyFont="1" applyFill="1" applyBorder="1" applyAlignment="1">
      <alignment horizontal="right" vertical="top" wrapText="1"/>
    </xf>
    <xf numFmtId="2" fontId="0" fillId="6" borderId="24" xfId="0" applyNumberFormat="1" applyFill="1" applyBorder="1"/>
    <xf numFmtId="2" fontId="0" fillId="6" borderId="25" xfId="0" applyNumberFormat="1" applyFill="1" applyBorder="1"/>
    <xf numFmtId="164" fontId="1" fillId="4" borderId="20" xfId="0" applyNumberFormat="1" applyFont="1" applyFill="1" applyBorder="1" applyAlignment="1">
      <alignment horizontal="right"/>
    </xf>
    <xf numFmtId="164" fontId="0" fillId="5" borderId="6" xfId="0" applyNumberFormat="1" applyFill="1" applyBorder="1"/>
    <xf numFmtId="164" fontId="0" fillId="5" borderId="9" xfId="0" applyNumberFormat="1" applyFill="1" applyBorder="1"/>
    <xf numFmtId="0" fontId="7" fillId="5" borderId="16" xfId="2" applyFont="1" applyFill="1" applyBorder="1"/>
    <xf numFmtId="1" fontId="0" fillId="5" borderId="6" xfId="0" applyNumberFormat="1" applyFill="1" applyBorder="1" applyAlignment="1">
      <alignment horizontal="right"/>
    </xf>
    <xf numFmtId="1" fontId="0" fillId="5" borderId="6" xfId="0" applyNumberFormat="1" applyFill="1" applyBorder="1"/>
    <xf numFmtId="2" fontId="0" fillId="5" borderId="5" xfId="0" applyNumberFormat="1" applyFill="1" applyBorder="1"/>
    <xf numFmtId="0" fontId="1" fillId="0" borderId="0" xfId="0" applyFont="1" applyAlignment="1">
      <alignment horizontal="left"/>
    </xf>
    <xf numFmtId="164" fontId="0" fillId="0" borderId="0" xfId="0" applyNumberFormat="1"/>
    <xf numFmtId="164" fontId="0" fillId="5" borderId="4" xfId="0" applyNumberFormat="1" applyFill="1" applyBorder="1"/>
    <xf numFmtId="0" fontId="1" fillId="5" borderId="26" xfId="0" applyFont="1" applyFill="1" applyBorder="1" applyAlignment="1">
      <alignment horizontal="right" vertical="top" wrapText="1"/>
    </xf>
    <xf numFmtId="164" fontId="0" fillId="5" borderId="8" xfId="0" applyNumberFormat="1" applyFill="1" applyBorder="1"/>
    <xf numFmtId="1" fontId="0" fillId="5" borderId="9" xfId="0" applyNumberFormat="1" applyFill="1" applyBorder="1" applyAlignment="1">
      <alignment horizontal="right"/>
    </xf>
    <xf numFmtId="0" fontId="0" fillId="8" borderId="6" xfId="0" applyFill="1" applyBorder="1" applyAlignment="1">
      <alignment horizontal="right"/>
    </xf>
    <xf numFmtId="9" fontId="0" fillId="8" borderId="6" xfId="0" applyNumberFormat="1" applyFill="1" applyBorder="1" applyAlignment="1">
      <alignment horizontal="right"/>
    </xf>
    <xf numFmtId="0" fontId="11" fillId="4" borderId="27" xfId="0" applyFont="1" applyFill="1" applyBorder="1" applyAlignment="1">
      <alignment horizontal="left"/>
    </xf>
    <xf numFmtId="0" fontId="11" fillId="8" borderId="29" xfId="0" applyFont="1" applyFill="1" applyBorder="1" applyAlignment="1">
      <alignment horizontal="left"/>
    </xf>
    <xf numFmtId="0" fontId="11" fillId="9" borderId="29" xfId="0" applyFont="1" applyFill="1" applyBorder="1" applyAlignment="1">
      <alignment horizontal="left"/>
    </xf>
    <xf numFmtId="3" fontId="11" fillId="10" borderId="28" xfId="0" applyNumberFormat="1" applyFont="1" applyFill="1" applyBorder="1" applyAlignment="1">
      <alignment horizontal="left"/>
    </xf>
    <xf numFmtId="2" fontId="0" fillId="5" borderId="7" xfId="0" applyNumberFormat="1" applyFill="1" applyBorder="1"/>
    <xf numFmtId="1" fontId="0" fillId="5" borderId="9" xfId="0" applyNumberFormat="1" applyFill="1" applyBorder="1"/>
    <xf numFmtId="1" fontId="0" fillId="5" borderId="4" xfId="0" applyNumberFormat="1" applyFill="1" applyBorder="1"/>
    <xf numFmtId="1" fontId="0" fillId="5" borderId="8" xfId="0" applyNumberFormat="1" applyFill="1" applyBorder="1"/>
    <xf numFmtId="1" fontId="0" fillId="8" borderId="19" xfId="0" applyNumberFormat="1" applyFill="1" applyBorder="1" applyAlignment="1">
      <alignment horizontal="right"/>
    </xf>
  </cellXfs>
  <cellStyles count="3">
    <cellStyle name="Hiperlink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1028700</xdr:colOff>
      <xdr:row>0</xdr:row>
      <xdr:rowOff>16234</xdr:rowOff>
    </xdr:from>
    <xdr:ext cx="1283402" cy="495830"/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50" y="16234"/>
          <a:ext cx="1283402" cy="495830"/>
        </a:xfrm>
        <a:prstGeom prst="rect">
          <a:avLst/>
        </a:prstGeom>
      </xdr:spPr>
    </xdr:pic>
    <xdr:clientData/>
  </xdr:oneCellAnchor>
  <xdr:twoCellAnchor editAs="oneCell">
    <xdr:from>
      <xdr:col>4</xdr:col>
      <xdr:colOff>89112</xdr:colOff>
      <xdr:row>32</xdr:row>
      <xdr:rowOff>92085</xdr:rowOff>
    </xdr:from>
    <xdr:to>
      <xdr:col>7</xdr:col>
      <xdr:colOff>596154</xdr:colOff>
      <xdr:row>48</xdr:row>
      <xdr:rowOff>123703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505251A-27CD-7809-A346-DEF0512A1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46987" y="6826260"/>
          <a:ext cx="3593142" cy="2860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.powerbi.com/view?r=eyJrIjoiNjYzNTcxYmEtZjUwNC00YjE0LWE1NWMtNjc2ZDUxZDM5YzJlIiwidCI6IjQwZDZmOWI4LWVjYTctNDZhMi05MmQ0LWVhNGU5YzAxNzBlMSIsImMiOjR9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2"/>
  <sheetViews>
    <sheetView tabSelected="1" zoomScaleNormal="100" workbookViewId="0">
      <selection activeCell="M61" sqref="M61"/>
    </sheetView>
  </sheetViews>
  <sheetFormatPr defaultRowHeight="15" x14ac:dyDescent="0.25"/>
  <cols>
    <col min="1" max="1" width="40.28515625" customWidth="1"/>
    <col min="2" max="2" width="14.7109375" style="11" customWidth="1"/>
    <col min="3" max="3" width="16.140625" customWidth="1"/>
    <col min="4" max="4" width="17.85546875" customWidth="1"/>
    <col min="5" max="8" width="15.42578125" customWidth="1"/>
    <col min="9" max="9" width="18" customWidth="1"/>
    <col min="10" max="10" width="15.140625" customWidth="1"/>
    <col min="11" max="11" width="21" customWidth="1"/>
    <col min="12" max="12" width="22.42578125" customWidth="1"/>
  </cols>
  <sheetData>
    <row r="1" spans="1:23" s="7" customFormat="1" ht="42.75" customHeight="1" thickBot="1" x14ac:dyDescent="0.3">
      <c r="A1" s="3" t="s">
        <v>69</v>
      </c>
      <c r="B1" s="10"/>
      <c r="C1" s="4"/>
      <c r="D1" s="4"/>
      <c r="E1" s="4"/>
      <c r="F1" s="4"/>
      <c r="G1" s="4"/>
      <c r="H1" s="4"/>
      <c r="I1" s="4"/>
      <c r="J1" s="4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5.75" thickBot="1" x14ac:dyDescent="0.3"/>
    <row r="3" spans="1:23" ht="19.5" thickBot="1" x14ac:dyDescent="0.35">
      <c r="A3" s="27" t="s">
        <v>30</v>
      </c>
      <c r="B3" s="29"/>
    </row>
    <row r="4" spans="1:23" ht="15.75" x14ac:dyDescent="0.25">
      <c r="A4" s="56" t="s">
        <v>12</v>
      </c>
      <c r="B4" s="33"/>
      <c r="C4" s="26"/>
      <c r="D4" s="26"/>
      <c r="E4" s="26"/>
      <c r="F4" s="26"/>
      <c r="G4" s="26"/>
      <c r="H4" s="26"/>
      <c r="I4" s="26"/>
    </row>
    <row r="5" spans="1:23" x14ac:dyDescent="0.25">
      <c r="A5" s="14" t="s">
        <v>4</v>
      </c>
      <c r="B5" s="18" t="s">
        <v>2</v>
      </c>
      <c r="C5" t="s">
        <v>39</v>
      </c>
    </row>
    <row r="6" spans="1:23" s="2" customFormat="1" x14ac:dyDescent="0.25">
      <c r="A6" s="9" t="s">
        <v>5</v>
      </c>
      <c r="B6" s="12">
        <v>44958</v>
      </c>
      <c r="C6" s="2" t="s">
        <v>40</v>
      </c>
      <c r="J6" s="1"/>
      <c r="K6" s="1"/>
    </row>
    <row r="7" spans="1:23" s="2" customFormat="1" x14ac:dyDescent="0.25">
      <c r="A7" s="9" t="s">
        <v>6</v>
      </c>
      <c r="B7" s="12" t="s">
        <v>8</v>
      </c>
      <c r="C7" s="1" t="s">
        <v>40</v>
      </c>
      <c r="D7" s="1"/>
      <c r="E7" s="1"/>
      <c r="F7" s="1"/>
      <c r="G7" s="1"/>
      <c r="H7" s="1"/>
      <c r="I7" s="1"/>
      <c r="J7" s="1"/>
      <c r="K7" s="1"/>
    </row>
    <row r="8" spans="1:23" s="2" customFormat="1" x14ac:dyDescent="0.25">
      <c r="A8" s="9" t="s">
        <v>7</v>
      </c>
      <c r="B8" s="12" t="s">
        <v>9</v>
      </c>
      <c r="C8" s="1" t="s">
        <v>40</v>
      </c>
      <c r="D8" s="1"/>
      <c r="E8" s="1"/>
      <c r="F8" s="1"/>
      <c r="G8" s="1"/>
      <c r="H8" s="1"/>
      <c r="I8" s="1"/>
      <c r="J8" s="1"/>
      <c r="K8" s="1"/>
    </row>
    <row r="9" spans="1:23" s="2" customFormat="1" x14ac:dyDescent="0.25">
      <c r="A9" s="9" t="s">
        <v>10</v>
      </c>
      <c r="B9" s="12" t="s">
        <v>11</v>
      </c>
      <c r="C9" s="1" t="s">
        <v>40</v>
      </c>
      <c r="D9" s="1"/>
      <c r="E9" s="1"/>
      <c r="F9" s="1"/>
      <c r="G9" s="1"/>
      <c r="H9" s="1"/>
      <c r="I9" s="1"/>
      <c r="J9" s="1"/>
      <c r="K9" s="1"/>
    </row>
    <row r="10" spans="1:23" s="2" customFormat="1" ht="15.75" thickBot="1" x14ac:dyDescent="0.3">
      <c r="A10" s="31" t="s">
        <v>17</v>
      </c>
      <c r="B10" s="30">
        <v>166.59</v>
      </c>
      <c r="C10" s="1" t="s">
        <v>38</v>
      </c>
      <c r="D10" s="1"/>
      <c r="E10" s="1"/>
      <c r="F10" s="1"/>
      <c r="G10" s="1"/>
      <c r="H10" s="1"/>
      <c r="I10" s="1"/>
      <c r="J10" s="1"/>
      <c r="K10" s="1"/>
    </row>
    <row r="11" spans="1:23" s="2" customFormat="1" ht="6" customHeight="1" thickBot="1" x14ac:dyDescent="0.3">
      <c r="A11" s="20"/>
      <c r="B11" s="21"/>
      <c r="C11" s="1"/>
      <c r="D11" s="1"/>
      <c r="E11" s="1"/>
      <c r="F11" s="1"/>
      <c r="G11" s="1"/>
      <c r="H11" s="1"/>
      <c r="I11" s="1"/>
      <c r="J11" s="1"/>
      <c r="K11" s="1"/>
    </row>
    <row r="12" spans="1:23" s="2" customFormat="1" ht="15.75" x14ac:dyDescent="0.25">
      <c r="A12" s="16" t="s">
        <v>31</v>
      </c>
      <c r="B12" s="19"/>
      <c r="C12" s="1" t="s">
        <v>15</v>
      </c>
      <c r="D12" s="1"/>
      <c r="E12" s="1"/>
      <c r="F12" s="1"/>
      <c r="G12" s="1"/>
      <c r="H12" s="1"/>
      <c r="I12" s="1"/>
      <c r="J12" s="1"/>
      <c r="K12" s="1"/>
    </row>
    <row r="13" spans="1:23" x14ac:dyDescent="0.25">
      <c r="A13" s="14" t="s">
        <v>0</v>
      </c>
      <c r="B13" s="13">
        <v>6.1999999999999998E-3</v>
      </c>
      <c r="C13" t="s">
        <v>42</v>
      </c>
    </row>
    <row r="14" spans="1:23" x14ac:dyDescent="0.25">
      <c r="A14" s="14" t="s">
        <v>1</v>
      </c>
      <c r="B14" s="13">
        <v>2.8899999999999999E-2</v>
      </c>
      <c r="C14" s="1" t="s">
        <v>40</v>
      </c>
    </row>
    <row r="15" spans="1:23" x14ac:dyDescent="0.25">
      <c r="A15" s="14" t="s">
        <v>3</v>
      </c>
      <c r="B15" s="13">
        <v>0.18</v>
      </c>
      <c r="C15" t="s">
        <v>41</v>
      </c>
    </row>
    <row r="16" spans="1:23" ht="15.75" thickBot="1" x14ac:dyDescent="0.3">
      <c r="A16" s="8" t="s">
        <v>19</v>
      </c>
      <c r="B16" s="22">
        <f>B10/(1-B13-B14)/(1-B15)</f>
        <v>210.54879944591752</v>
      </c>
    </row>
    <row r="17" spans="1:9" ht="15.75" thickBot="1" x14ac:dyDescent="0.3"/>
    <row r="18" spans="1:9" ht="19.5" thickBot="1" x14ac:dyDescent="0.35">
      <c r="A18" s="27" t="s">
        <v>22</v>
      </c>
      <c r="B18" s="53">
        <v>0.95309999999999995</v>
      </c>
      <c r="C18" t="s">
        <v>32</v>
      </c>
    </row>
    <row r="19" spans="1:9" ht="15.75" thickBot="1" x14ac:dyDescent="0.3"/>
    <row r="20" spans="1:9" ht="19.5" thickBot="1" x14ac:dyDescent="0.35">
      <c r="A20" s="36" t="s">
        <v>29</v>
      </c>
      <c r="B20" s="40"/>
      <c r="C20" s="28"/>
      <c r="D20" s="29"/>
    </row>
    <row r="21" spans="1:9" ht="30.75" customHeight="1" x14ac:dyDescent="0.25">
      <c r="A21" s="45" t="s">
        <v>18</v>
      </c>
      <c r="B21" s="63" t="s">
        <v>14</v>
      </c>
      <c r="C21" s="63" t="s">
        <v>54</v>
      </c>
      <c r="D21" s="41" t="s">
        <v>45</v>
      </c>
      <c r="E21" s="60"/>
      <c r="F21" s="60"/>
      <c r="G21" s="60"/>
      <c r="H21" s="60"/>
      <c r="I21" s="60"/>
    </row>
    <row r="22" spans="1:9" x14ac:dyDescent="0.25">
      <c r="A22" s="14">
        <v>2023</v>
      </c>
      <c r="B22" s="17">
        <v>0.15</v>
      </c>
      <c r="C22" s="62">
        <f>B22*B$16/1000</f>
        <v>3.1582319916887626E-2</v>
      </c>
      <c r="D22" s="54">
        <f>B$18-C22</f>
        <v>0.9215176800831123</v>
      </c>
      <c r="E22" s="61"/>
      <c r="F22" s="61"/>
      <c r="G22" s="61"/>
      <c r="H22" s="61"/>
      <c r="I22" s="61"/>
    </row>
    <row r="23" spans="1:9" x14ac:dyDescent="0.25">
      <c r="A23" s="14">
        <v>2024</v>
      </c>
      <c r="B23" s="17">
        <v>0.3</v>
      </c>
      <c r="C23" s="62">
        <f t="shared" ref="C23:C30" si="0">B23*B$16/1000</f>
        <v>6.3164639833775252E-2</v>
      </c>
      <c r="D23" s="54">
        <f t="shared" ref="D23:D30" si="1">B$18-C23</f>
        <v>0.88993536016622465</v>
      </c>
      <c r="E23" s="61"/>
      <c r="F23" s="61"/>
      <c r="G23" s="61"/>
      <c r="H23" s="61"/>
      <c r="I23" s="61"/>
    </row>
    <row r="24" spans="1:9" x14ac:dyDescent="0.25">
      <c r="A24" s="14">
        <v>2025</v>
      </c>
      <c r="B24" s="17">
        <v>0.45</v>
      </c>
      <c r="C24" s="62">
        <f t="shared" si="0"/>
        <v>9.4746959750662885E-2</v>
      </c>
      <c r="D24" s="54">
        <f t="shared" si="1"/>
        <v>0.85835304024933712</v>
      </c>
      <c r="E24" s="61"/>
      <c r="F24" s="61"/>
      <c r="G24" s="61"/>
      <c r="H24" s="61"/>
      <c r="I24" s="61"/>
    </row>
    <row r="25" spans="1:9" x14ac:dyDescent="0.25">
      <c r="A25" s="14">
        <v>2026</v>
      </c>
      <c r="B25" s="17">
        <v>0.6</v>
      </c>
      <c r="C25" s="62">
        <f t="shared" si="0"/>
        <v>0.1263292796675505</v>
      </c>
      <c r="D25" s="54">
        <f t="shared" si="1"/>
        <v>0.82677072033244947</v>
      </c>
      <c r="E25" s="61"/>
      <c r="F25" s="61"/>
      <c r="G25" s="61"/>
      <c r="H25" s="61"/>
      <c r="I25" s="61"/>
    </row>
    <row r="26" spans="1:9" x14ac:dyDescent="0.25">
      <c r="A26" s="14">
        <v>2027</v>
      </c>
      <c r="B26" s="17">
        <v>0.75</v>
      </c>
      <c r="C26" s="62">
        <f t="shared" si="0"/>
        <v>0.15791159958443812</v>
      </c>
      <c r="D26" s="54">
        <f t="shared" si="1"/>
        <v>0.79518840041556182</v>
      </c>
      <c r="E26" s="61"/>
      <c r="F26" s="61"/>
      <c r="G26" s="61"/>
      <c r="H26" s="61"/>
      <c r="I26" s="61"/>
    </row>
    <row r="27" spans="1:9" x14ac:dyDescent="0.25">
      <c r="A27" s="14">
        <v>2028</v>
      </c>
      <c r="B27" s="17">
        <v>0.9</v>
      </c>
      <c r="C27" s="62">
        <f t="shared" si="0"/>
        <v>0.18949391950132577</v>
      </c>
      <c r="D27" s="54">
        <f t="shared" si="1"/>
        <v>0.76360608049867418</v>
      </c>
      <c r="E27" s="61"/>
      <c r="F27" s="61"/>
      <c r="G27" s="61"/>
      <c r="H27" s="61"/>
      <c r="I27" s="61"/>
    </row>
    <row r="28" spans="1:9" x14ac:dyDescent="0.25">
      <c r="A28" s="14">
        <v>2029</v>
      </c>
      <c r="B28" s="17">
        <v>0.9</v>
      </c>
      <c r="C28" s="62">
        <f t="shared" si="0"/>
        <v>0.18949391950132577</v>
      </c>
      <c r="D28" s="54">
        <f t="shared" si="1"/>
        <v>0.76360608049867418</v>
      </c>
      <c r="E28" s="61"/>
      <c r="F28" s="61"/>
      <c r="G28" s="61"/>
      <c r="H28" s="61"/>
      <c r="I28" s="61"/>
    </row>
    <row r="29" spans="1:9" x14ac:dyDescent="0.25">
      <c r="A29" s="14">
        <v>2030</v>
      </c>
      <c r="B29" s="17">
        <v>0.9</v>
      </c>
      <c r="C29" s="62">
        <f t="shared" si="0"/>
        <v>0.18949391950132577</v>
      </c>
      <c r="D29" s="54">
        <f t="shared" si="1"/>
        <v>0.76360608049867418</v>
      </c>
      <c r="E29" s="61"/>
      <c r="F29" s="61"/>
      <c r="G29" s="61"/>
      <c r="H29" s="61"/>
      <c r="I29" s="61"/>
    </row>
    <row r="30" spans="1:9" ht="15.75" thickBot="1" x14ac:dyDescent="0.3">
      <c r="A30" s="15">
        <v>2031</v>
      </c>
      <c r="B30" s="25">
        <v>1</v>
      </c>
      <c r="C30" s="64">
        <f t="shared" si="0"/>
        <v>0.21054879944591753</v>
      </c>
      <c r="D30" s="55">
        <f t="shared" si="1"/>
        <v>0.74255120055408241</v>
      </c>
      <c r="E30" s="61"/>
      <c r="F30" s="61"/>
      <c r="G30" s="61"/>
      <c r="H30" s="61"/>
      <c r="I30" s="61"/>
    </row>
    <row r="31" spans="1:9" x14ac:dyDescent="0.25">
      <c r="A31" t="s">
        <v>16</v>
      </c>
    </row>
    <row r="32" spans="1:9" x14ac:dyDescent="0.25">
      <c r="A32" t="s">
        <v>55</v>
      </c>
    </row>
    <row r="33" spans="1:3" ht="15.75" thickBot="1" x14ac:dyDescent="0.3"/>
    <row r="34" spans="1:3" ht="19.5" thickBot="1" x14ac:dyDescent="0.35">
      <c r="A34" s="36" t="s">
        <v>21</v>
      </c>
      <c r="B34" s="37"/>
    </row>
    <row r="35" spans="1:3" x14ac:dyDescent="0.25">
      <c r="A35" s="39" t="s">
        <v>33</v>
      </c>
      <c r="B35" s="76">
        <v>634.79999999999995</v>
      </c>
      <c r="C35" t="s">
        <v>26</v>
      </c>
    </row>
    <row r="36" spans="1:3" x14ac:dyDescent="0.25">
      <c r="A36" s="14" t="s">
        <v>20</v>
      </c>
      <c r="B36" s="66">
        <v>2</v>
      </c>
    </row>
    <row r="37" spans="1:3" x14ac:dyDescent="0.25">
      <c r="A37" s="14" t="s">
        <v>43</v>
      </c>
      <c r="B37" s="24">
        <f>IF(B36=1,30,IF(B36=2,50,100))</f>
        <v>50</v>
      </c>
    </row>
    <row r="38" spans="1:3" x14ac:dyDescent="0.25">
      <c r="A38" s="14" t="s">
        <v>44</v>
      </c>
      <c r="B38" s="24">
        <f>B37*B18</f>
        <v>47.654999999999994</v>
      </c>
    </row>
    <row r="39" spans="1:3" ht="3.75" customHeight="1" x14ac:dyDescent="0.25">
      <c r="A39" s="14"/>
      <c r="B39" s="24"/>
    </row>
    <row r="40" spans="1:3" x14ac:dyDescent="0.25">
      <c r="A40" s="35" t="s">
        <v>35</v>
      </c>
      <c r="B40" s="66">
        <v>633</v>
      </c>
      <c r="C40" t="s">
        <v>24</v>
      </c>
    </row>
    <row r="41" spans="1:3" x14ac:dyDescent="0.25">
      <c r="A41" s="14" t="s">
        <v>13</v>
      </c>
      <c r="B41" s="67">
        <v>0.4</v>
      </c>
      <c r="C41" t="s">
        <v>25</v>
      </c>
    </row>
    <row r="42" spans="1:3" x14ac:dyDescent="0.25">
      <c r="A42" s="35" t="s">
        <v>34</v>
      </c>
      <c r="B42" s="24">
        <f>B40*B41</f>
        <v>253.20000000000002</v>
      </c>
    </row>
    <row r="43" spans="1:3" x14ac:dyDescent="0.25">
      <c r="A43" s="35" t="s">
        <v>37</v>
      </c>
      <c r="B43" s="34">
        <f>B35-B42</f>
        <v>381.59999999999991</v>
      </c>
      <c r="C43" t="s">
        <v>27</v>
      </c>
    </row>
    <row r="44" spans="1:3" ht="3.75" customHeight="1" x14ac:dyDescent="0.25">
      <c r="A44" s="14"/>
      <c r="B44" s="24"/>
    </row>
    <row r="45" spans="1:3" x14ac:dyDescent="0.25">
      <c r="A45" s="35" t="s">
        <v>36</v>
      </c>
      <c r="B45" s="34">
        <f>B40-B42</f>
        <v>379.79999999999995</v>
      </c>
    </row>
    <row r="46" spans="1:3" x14ac:dyDescent="0.25">
      <c r="A46" s="14" t="s">
        <v>28</v>
      </c>
      <c r="B46" s="23"/>
    </row>
    <row r="47" spans="1:3" x14ac:dyDescent="0.25">
      <c r="A47" s="14" t="s">
        <v>23</v>
      </c>
      <c r="B47" s="57">
        <f>B45+B46</f>
        <v>379.79999999999995</v>
      </c>
    </row>
    <row r="48" spans="1:3" x14ac:dyDescent="0.25">
      <c r="A48" s="35" t="s">
        <v>56</v>
      </c>
      <c r="B48" s="34">
        <f>IF(B47&gt;B43,B43,B47)</f>
        <v>379.79999999999995</v>
      </c>
    </row>
    <row r="49" spans="1:12" ht="15.75" thickBot="1" x14ac:dyDescent="0.3">
      <c r="A49" s="15" t="s">
        <v>57</v>
      </c>
      <c r="B49" s="65">
        <f>B47-B48</f>
        <v>0</v>
      </c>
    </row>
    <row r="50" spans="1:12" ht="15.75" thickBot="1" x14ac:dyDescent="0.3">
      <c r="B50" s="32"/>
    </row>
    <row r="51" spans="1:12" ht="19.5" thickBot="1" x14ac:dyDescent="0.35">
      <c r="A51" s="36" t="s">
        <v>68</v>
      </c>
      <c r="B51" s="40"/>
      <c r="C51" s="40"/>
      <c r="D51" s="40"/>
      <c r="E51" s="40"/>
      <c r="F51" s="40"/>
      <c r="G51" s="40"/>
      <c r="H51" s="40"/>
      <c r="I51" s="40"/>
      <c r="J51" s="40"/>
      <c r="K51" s="37"/>
      <c r="L51" s="37"/>
    </row>
    <row r="52" spans="1:12" s="38" customFormat="1" ht="30" x14ac:dyDescent="0.25">
      <c r="A52" s="42" t="s">
        <v>18</v>
      </c>
      <c r="B52" s="45" t="s">
        <v>46</v>
      </c>
      <c r="C52" s="41" t="s">
        <v>53</v>
      </c>
      <c r="D52" s="45" t="s">
        <v>66</v>
      </c>
      <c r="E52" s="41" t="s">
        <v>53</v>
      </c>
      <c r="F52" s="45" t="s">
        <v>47</v>
      </c>
      <c r="G52" s="45" t="s">
        <v>48</v>
      </c>
      <c r="H52" s="63" t="s">
        <v>49</v>
      </c>
      <c r="I52" s="41" t="s">
        <v>67</v>
      </c>
      <c r="J52" s="50" t="s">
        <v>50</v>
      </c>
      <c r="K52" s="50" t="s">
        <v>51</v>
      </c>
      <c r="L52" s="50" t="s">
        <v>64</v>
      </c>
    </row>
    <row r="53" spans="1:12" x14ac:dyDescent="0.25">
      <c r="A53" s="43">
        <v>2023</v>
      </c>
      <c r="B53" s="46">
        <f>B$43</f>
        <v>381.59999999999991</v>
      </c>
      <c r="C53" s="47">
        <f>B53*B$18</f>
        <v>363.7029599999999</v>
      </c>
      <c r="D53" s="46">
        <f>B$48</f>
        <v>379.79999999999995</v>
      </c>
      <c r="E53" s="47">
        <f t="shared" ref="E53:E61" si="2">D53*D22</f>
        <v>349.99241489556601</v>
      </c>
      <c r="F53" s="59">
        <f>C53-E53</f>
        <v>13.710545104433891</v>
      </c>
      <c r="G53" s="59">
        <f>F53-B$38</f>
        <v>-33.944454895566103</v>
      </c>
      <c r="H53" s="74">
        <f t="shared" ref="H53:H61" si="3">IF(G53&lt;0,-G53/D22,0)</f>
        <v>36.83538105585194</v>
      </c>
      <c r="I53" s="58">
        <f>B$48-H53</f>
        <v>342.96461894414801</v>
      </c>
      <c r="J53" s="51">
        <f>IF(G53&lt;0,B$38,F53)</f>
        <v>47.654999999999994</v>
      </c>
      <c r="K53" s="51">
        <f>I53*D22+B$42*B$18</f>
        <v>557.3728799999999</v>
      </c>
      <c r="L53" s="51">
        <f>(D53+B$49)*D22+B$42*B$18</f>
        <v>591.31733489556598</v>
      </c>
    </row>
    <row r="54" spans="1:12" x14ac:dyDescent="0.25">
      <c r="A54" s="43">
        <v>2024</v>
      </c>
      <c r="B54" s="46">
        <f t="shared" ref="B54:B61" si="4">B$43</f>
        <v>381.59999999999991</v>
      </c>
      <c r="C54" s="47">
        <f t="shared" ref="C54:C61" si="5">B54*B$18</f>
        <v>363.7029599999999</v>
      </c>
      <c r="D54" s="46">
        <f t="shared" ref="D54:D61" si="6">B$48</f>
        <v>379.79999999999995</v>
      </c>
      <c r="E54" s="47">
        <f t="shared" si="2"/>
        <v>337.99744979113206</v>
      </c>
      <c r="F54" s="59">
        <f t="shared" ref="F54:F61" si="7">C54-E54</f>
        <v>25.70551020886785</v>
      </c>
      <c r="G54" s="59">
        <f t="shared" ref="G54:G61" si="8">F54-B$38</f>
        <v>-21.949489791132144</v>
      </c>
      <c r="H54" s="74">
        <f t="shared" si="3"/>
        <v>24.664139412364012</v>
      </c>
      <c r="I54" s="58">
        <f t="shared" ref="I54:I61" si="9">B$48-H54</f>
        <v>355.13586058763593</v>
      </c>
      <c r="J54" s="51">
        <f t="shared" ref="J54:J61" si="10">IF(G54&lt;0,B$38,F54)</f>
        <v>47.654999999999994</v>
      </c>
      <c r="K54" s="51">
        <f t="shared" ref="K54:K61" si="11">I54*D23+B$42*B$18</f>
        <v>557.3728799999999</v>
      </c>
      <c r="L54" s="51">
        <f t="shared" ref="L54:L61" si="12">(D54+B$49)*D23+B$42*B$18</f>
        <v>579.32236979113202</v>
      </c>
    </row>
    <row r="55" spans="1:12" x14ac:dyDescent="0.25">
      <c r="A55" s="43">
        <v>2025</v>
      </c>
      <c r="B55" s="46">
        <f t="shared" si="4"/>
        <v>381.59999999999991</v>
      </c>
      <c r="C55" s="47">
        <f t="shared" si="5"/>
        <v>363.7029599999999</v>
      </c>
      <c r="D55" s="46">
        <f t="shared" si="6"/>
        <v>379.79999999999995</v>
      </c>
      <c r="E55" s="47">
        <f t="shared" si="2"/>
        <v>326.00248468669821</v>
      </c>
      <c r="F55" s="59">
        <f t="shared" si="7"/>
        <v>37.700475313301695</v>
      </c>
      <c r="G55" s="59">
        <f t="shared" si="8"/>
        <v>-9.9545246866982993</v>
      </c>
      <c r="H55" s="74">
        <f t="shared" si="3"/>
        <v>11.59723822240634</v>
      </c>
      <c r="I55" s="58">
        <f t="shared" si="9"/>
        <v>368.20276177759359</v>
      </c>
      <c r="J55" s="51">
        <f t="shared" si="10"/>
        <v>47.654999999999994</v>
      </c>
      <c r="K55" s="51">
        <f t="shared" si="11"/>
        <v>557.3728799999999</v>
      </c>
      <c r="L55" s="51">
        <f t="shared" si="12"/>
        <v>567.32740468669817</v>
      </c>
    </row>
    <row r="56" spans="1:12" x14ac:dyDescent="0.25">
      <c r="A56" s="43">
        <v>2026</v>
      </c>
      <c r="B56" s="46">
        <f t="shared" si="4"/>
        <v>381.59999999999991</v>
      </c>
      <c r="C56" s="47">
        <f t="shared" si="5"/>
        <v>363.7029599999999</v>
      </c>
      <c r="D56" s="46">
        <f t="shared" si="6"/>
        <v>379.79999999999995</v>
      </c>
      <c r="E56" s="47">
        <f t="shared" si="2"/>
        <v>314.00751958226425</v>
      </c>
      <c r="F56" s="59">
        <f t="shared" si="7"/>
        <v>49.695440417735654</v>
      </c>
      <c r="G56" s="59">
        <f t="shared" si="8"/>
        <v>2.0404404177356597</v>
      </c>
      <c r="H56" s="74">
        <f t="shared" si="3"/>
        <v>0</v>
      </c>
      <c r="I56" s="58">
        <f t="shared" si="9"/>
        <v>379.79999999999995</v>
      </c>
      <c r="J56" s="51">
        <f t="shared" si="10"/>
        <v>49.695440417735654</v>
      </c>
      <c r="K56" s="51">
        <f t="shared" si="11"/>
        <v>555.33243958226421</v>
      </c>
      <c r="L56" s="51">
        <f t="shared" si="12"/>
        <v>555.33243958226421</v>
      </c>
    </row>
    <row r="57" spans="1:12" x14ac:dyDescent="0.25">
      <c r="A57" s="43">
        <v>2027</v>
      </c>
      <c r="B57" s="46">
        <f t="shared" si="4"/>
        <v>381.59999999999991</v>
      </c>
      <c r="C57" s="47">
        <f t="shared" si="5"/>
        <v>363.7029599999999</v>
      </c>
      <c r="D57" s="46">
        <f t="shared" si="6"/>
        <v>379.79999999999995</v>
      </c>
      <c r="E57" s="47">
        <f t="shared" si="2"/>
        <v>302.01255447783035</v>
      </c>
      <c r="F57" s="59">
        <f t="shared" si="7"/>
        <v>61.690405522169556</v>
      </c>
      <c r="G57" s="59">
        <f t="shared" si="8"/>
        <v>14.035405522169562</v>
      </c>
      <c r="H57" s="74">
        <f t="shared" si="3"/>
        <v>0</v>
      </c>
      <c r="I57" s="58">
        <f t="shared" si="9"/>
        <v>379.79999999999995</v>
      </c>
      <c r="J57" s="51">
        <f t="shared" si="10"/>
        <v>61.690405522169556</v>
      </c>
      <c r="K57" s="51">
        <f t="shared" si="11"/>
        <v>543.33747447783037</v>
      </c>
      <c r="L57" s="51">
        <f t="shared" si="12"/>
        <v>543.33747447783037</v>
      </c>
    </row>
    <row r="58" spans="1:12" x14ac:dyDescent="0.25">
      <c r="A58" s="43">
        <v>2028</v>
      </c>
      <c r="B58" s="46">
        <f t="shared" si="4"/>
        <v>381.59999999999991</v>
      </c>
      <c r="C58" s="47">
        <f t="shared" si="5"/>
        <v>363.7029599999999</v>
      </c>
      <c r="D58" s="46">
        <f t="shared" si="6"/>
        <v>379.79999999999995</v>
      </c>
      <c r="E58" s="47">
        <f t="shared" si="2"/>
        <v>290.01758937339639</v>
      </c>
      <c r="F58" s="59">
        <f t="shared" si="7"/>
        <v>73.685370626603515</v>
      </c>
      <c r="G58" s="59">
        <f t="shared" si="8"/>
        <v>26.030370626603521</v>
      </c>
      <c r="H58" s="74">
        <f t="shared" si="3"/>
        <v>0</v>
      </c>
      <c r="I58" s="58">
        <f t="shared" si="9"/>
        <v>379.79999999999995</v>
      </c>
      <c r="J58" s="51">
        <f t="shared" si="10"/>
        <v>73.685370626603515</v>
      </c>
      <c r="K58" s="51">
        <f t="shared" si="11"/>
        <v>531.34250937339641</v>
      </c>
      <c r="L58" s="51">
        <f t="shared" si="12"/>
        <v>531.34250937339641</v>
      </c>
    </row>
    <row r="59" spans="1:12" x14ac:dyDescent="0.25">
      <c r="A59" s="43">
        <v>2029</v>
      </c>
      <c r="B59" s="46">
        <f t="shared" si="4"/>
        <v>381.59999999999991</v>
      </c>
      <c r="C59" s="47">
        <f t="shared" si="5"/>
        <v>363.7029599999999</v>
      </c>
      <c r="D59" s="46">
        <f t="shared" si="6"/>
        <v>379.79999999999995</v>
      </c>
      <c r="E59" s="47">
        <f t="shared" si="2"/>
        <v>290.01758937339639</v>
      </c>
      <c r="F59" s="59">
        <f t="shared" si="7"/>
        <v>73.685370626603515</v>
      </c>
      <c r="G59" s="59">
        <f t="shared" si="8"/>
        <v>26.030370626603521</v>
      </c>
      <c r="H59" s="74">
        <f t="shared" si="3"/>
        <v>0</v>
      </c>
      <c r="I59" s="58">
        <f t="shared" si="9"/>
        <v>379.79999999999995</v>
      </c>
      <c r="J59" s="51">
        <f t="shared" si="10"/>
        <v>73.685370626603515</v>
      </c>
      <c r="K59" s="51">
        <f t="shared" si="11"/>
        <v>531.34250937339641</v>
      </c>
      <c r="L59" s="51">
        <f t="shared" si="12"/>
        <v>531.34250937339641</v>
      </c>
    </row>
    <row r="60" spans="1:12" x14ac:dyDescent="0.25">
      <c r="A60" s="43">
        <v>2030</v>
      </c>
      <c r="B60" s="46">
        <f t="shared" si="4"/>
        <v>381.59999999999991</v>
      </c>
      <c r="C60" s="47">
        <f t="shared" si="5"/>
        <v>363.7029599999999</v>
      </c>
      <c r="D60" s="46">
        <f t="shared" si="6"/>
        <v>379.79999999999995</v>
      </c>
      <c r="E60" s="47">
        <f t="shared" si="2"/>
        <v>290.01758937339639</v>
      </c>
      <c r="F60" s="59">
        <f t="shared" si="7"/>
        <v>73.685370626603515</v>
      </c>
      <c r="G60" s="59">
        <f t="shared" si="8"/>
        <v>26.030370626603521</v>
      </c>
      <c r="H60" s="74">
        <f t="shared" si="3"/>
        <v>0</v>
      </c>
      <c r="I60" s="58">
        <f t="shared" si="9"/>
        <v>379.79999999999995</v>
      </c>
      <c r="J60" s="51">
        <f t="shared" si="10"/>
        <v>73.685370626603515</v>
      </c>
      <c r="K60" s="51">
        <f t="shared" si="11"/>
        <v>531.34250937339641</v>
      </c>
      <c r="L60" s="51">
        <f t="shared" si="12"/>
        <v>531.34250937339641</v>
      </c>
    </row>
    <row r="61" spans="1:12" ht="15.75" thickBot="1" x14ac:dyDescent="0.3">
      <c r="A61" s="44">
        <v>2031</v>
      </c>
      <c r="B61" s="48">
        <f t="shared" si="4"/>
        <v>381.59999999999991</v>
      </c>
      <c r="C61" s="49">
        <f t="shared" si="5"/>
        <v>363.7029599999999</v>
      </c>
      <c r="D61" s="48">
        <f t="shared" si="6"/>
        <v>379.79999999999995</v>
      </c>
      <c r="E61" s="49">
        <f t="shared" si="2"/>
        <v>282.02094597044049</v>
      </c>
      <c r="F61" s="72">
        <f t="shared" si="7"/>
        <v>81.682014029559411</v>
      </c>
      <c r="G61" s="72">
        <f t="shared" si="8"/>
        <v>34.027014029559417</v>
      </c>
      <c r="H61" s="75">
        <f t="shared" si="3"/>
        <v>0</v>
      </c>
      <c r="I61" s="73">
        <f t="shared" si="9"/>
        <v>379.79999999999995</v>
      </c>
      <c r="J61" s="52">
        <f t="shared" si="10"/>
        <v>81.682014029559411</v>
      </c>
      <c r="K61" s="51">
        <f t="shared" si="11"/>
        <v>523.34586597044051</v>
      </c>
      <c r="L61" s="51">
        <f t="shared" si="12"/>
        <v>523.34586597044051</v>
      </c>
    </row>
    <row r="63" spans="1:12" x14ac:dyDescent="0.25">
      <c r="A63" t="s">
        <v>58</v>
      </c>
    </row>
    <row r="64" spans="1:12" x14ac:dyDescent="0.25">
      <c r="A64" t="s">
        <v>59</v>
      </c>
    </row>
    <row r="65" spans="1:2" x14ac:dyDescent="0.25">
      <c r="A65" t="s">
        <v>65</v>
      </c>
    </row>
    <row r="66" spans="1:2" x14ac:dyDescent="0.25">
      <c r="A66" t="s">
        <v>52</v>
      </c>
    </row>
    <row r="68" spans="1:2" ht="15.75" thickBot="1" x14ac:dyDescent="0.3"/>
    <row r="69" spans="1:2" x14ac:dyDescent="0.25">
      <c r="A69" s="68" t="s">
        <v>60</v>
      </c>
      <c r="B69"/>
    </row>
    <row r="70" spans="1:2" x14ac:dyDescent="0.25">
      <c r="A70" s="69" t="s">
        <v>62</v>
      </c>
      <c r="B70"/>
    </row>
    <row r="71" spans="1:2" x14ac:dyDescent="0.25">
      <c r="A71" s="70" t="s">
        <v>61</v>
      </c>
      <c r="B71"/>
    </row>
    <row r="72" spans="1:2" ht="15.75" thickBot="1" x14ac:dyDescent="0.3">
      <c r="A72" s="71" t="s">
        <v>63</v>
      </c>
      <c r="B72"/>
    </row>
  </sheetData>
  <hyperlinks>
    <hyperlink ref="A4" r:id="rId1" xr:uid="{925EFD8E-1327-4374-AC9B-66C0CAB4E955}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Faturamento</vt:lpstr>
      <vt:lpstr>Plan2</vt:lpstr>
      <vt:lpstr>Plan3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 Rauschmayer</cp:lastModifiedBy>
  <dcterms:created xsi:type="dcterms:W3CDTF">2017-07-28T09:23:05Z</dcterms:created>
  <dcterms:modified xsi:type="dcterms:W3CDTF">2023-02-28T14:56:47Z</dcterms:modified>
</cp:coreProperties>
</file>